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drawings/drawing6.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ЦяКнига"/>
  <mc:AlternateContent xmlns:mc="http://schemas.openxmlformats.org/markup-compatibility/2006">
    <mc:Choice Requires="x15">
      <x15ac:absPath xmlns:x15ac="http://schemas.microsoft.com/office/spreadsheetml/2010/11/ac" url="https://kredobank-my.sharepoint.com/personal/abchernykh_kredobank_com_ua/Documents/Робочий стіл/Партнерський/на сайт Партнер/"/>
    </mc:Choice>
  </mc:AlternateContent>
  <xr:revisionPtr revIDLastSave="120" documentId="8_{BCE5503B-0AEF-49AE-81D3-8F6F7D680690}" xr6:coauthVersionLast="47" xr6:coauthVersionMax="47" xr10:uidLastSave="{DA44F91F-5B49-4E71-A969-E910847C9D36}"/>
  <workbookProtection workbookAlgorithmName="SHA-512" workbookHashValue="yFdFdiAu6xeQPA5HmMyonj2Th57wSrAHOz4jpG1QivqfI3A4H27XZH4efV7Lr9MDfZ6OyvLr6IqYjBtaWnP2qg==" workbookSaltValue="/Q6ZUNE/ynhYK/YGFltPSA==" workbookSpinCount="100000" lockStructure="1"/>
  <bookViews>
    <workbookView xWindow="768" yWindow="768" windowWidth="14520" windowHeight="11676" tabRatio="888" firstSheet="3" activeTab="3" xr2:uid="{00000000-000D-0000-FFFF-FFFF00000000}"/>
  </bookViews>
  <sheets>
    <sheet name="Платоспроможність боржника" sheetId="1" state="hidden" r:id="rId1"/>
    <sheet name="Ануїтетна_графік_Іпотека" sheetId="6" state="hidden" r:id="rId2"/>
    <sheet name="Ануїтетна_графік_Авто" sheetId="7" state="hidden" r:id="rId3"/>
    <sheet name="Калькулятор " sheetId="11" r:id="rId4"/>
    <sheet name="Калькулятор" sheetId="9" state="hidden" r:id="rId5"/>
    <sheet name="Калькулятор (реал. ставка)" sheetId="10" state="hidden" r:id="rId6"/>
    <sheet name="Платоспроможність поручителя" sheetId="8" state="hidden" r:id="rId7"/>
    <sheet name="Доступна сума" sheetId="4" state="hidden" r:id="rId8"/>
    <sheet name="коефіцієнт витрат" sheetId="3" state="hidden" r:id="rId9"/>
    <sheet name="Таблиця МП_БВС" sheetId="2" state="hidden" r:id="rId10"/>
  </sheets>
  <definedNames>
    <definedName name="_xlnm.Print_Area" localSheetId="4">Калькулятор!$A$1:$N$186</definedName>
    <definedName name="_xlnm.Print_Area" localSheetId="3">'Калькулятор '!$A$1:$N$110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 i="11" l="1"/>
  <c r="T16" i="11"/>
  <c r="N24" i="11"/>
  <c r="N26" i="11" s="1"/>
  <c r="M30" i="11" l="1"/>
  <c r="M26" i="11"/>
  <c r="BC1" i="11"/>
  <c r="BC3" i="11" s="1"/>
  <c r="V4" i="11"/>
  <c r="BH5" i="11"/>
  <c r="BH6" i="11" s="1"/>
  <c r="BH7" i="11" s="1"/>
  <c r="BH8" i="11" s="1"/>
  <c r="BH9" i="11" s="1"/>
  <c r="BH10" i="11" s="1"/>
  <c r="BH11" i="11" s="1"/>
  <c r="BC22" i="11"/>
  <c r="BH12" i="11" l="1"/>
  <c r="BH13" i="11" s="1"/>
  <c r="BH14" i="11" s="1"/>
  <c r="BH15" i="11" s="1"/>
  <c r="BH16" i="11" s="1"/>
  <c r="BH17" i="11" s="1"/>
  <c r="BH18" i="11" s="1"/>
  <c r="BH19" i="11" s="1"/>
  <c r="BH20" i="11" s="1"/>
  <c r="BH21" i="11" s="1"/>
  <c r="BH22" i="11" s="1"/>
  <c r="BH23" i="11" s="1"/>
  <c r="BH24" i="11" s="1"/>
  <c r="BH25" i="11" s="1"/>
  <c r="BH26" i="11" s="1"/>
  <c r="BH27" i="11" s="1"/>
  <c r="BH28" i="11" s="1"/>
  <c r="BH29" i="11" s="1"/>
  <c r="BH30" i="11" s="1"/>
  <c r="BH31" i="11" s="1"/>
  <c r="BH32" i="11" s="1"/>
  <c r="BH33" i="11" s="1"/>
  <c r="BH34" i="11" s="1"/>
  <c r="BH35" i="11" s="1"/>
  <c r="BH36" i="11" s="1"/>
  <c r="BH37" i="11" s="1"/>
  <c r="BH38" i="11" s="1"/>
  <c r="BH39" i="11" s="1"/>
  <c r="BH40" i="11" s="1"/>
  <c r="BH41" i="11" s="1"/>
  <c r="BH42" i="11" s="1"/>
  <c r="BH43" i="11" s="1"/>
  <c r="BH44" i="11" s="1"/>
  <c r="BH45" i="11" s="1"/>
  <c r="BH46" i="11" s="1"/>
  <c r="BH47" i="11" s="1"/>
  <c r="BH48" i="11" s="1"/>
  <c r="BH49" i="11" s="1"/>
  <c r="BH50" i="11" s="1"/>
  <c r="BH51" i="11" s="1"/>
  <c r="BH52" i="11" s="1"/>
  <c r="BH53" i="11" s="1"/>
  <c r="BH54" i="11" s="1"/>
  <c r="BH55" i="11" s="1"/>
  <c r="BH56" i="11" s="1"/>
  <c r="BH57" i="11" s="1"/>
  <c r="BH58" i="11" s="1"/>
  <c r="BH59" i="11" s="1"/>
  <c r="BH60" i="11" s="1"/>
  <c r="BH61" i="11" s="1"/>
  <c r="BH62" i="11" s="1"/>
  <c r="BH63" i="11" s="1"/>
  <c r="BH64" i="11" s="1"/>
  <c r="BH65" i="11" s="1"/>
  <c r="BH66" i="11" s="1"/>
  <c r="BH67" i="11" s="1"/>
  <c r="BH68" i="11" s="1"/>
  <c r="BH69" i="11" s="1"/>
  <c r="BH70" i="11" s="1"/>
  <c r="BH71" i="11" s="1"/>
  <c r="BH72" i="11" s="1"/>
  <c r="BH73" i="11" s="1"/>
  <c r="BH74" i="11" s="1"/>
  <c r="BH75" i="11" s="1"/>
  <c r="BH76" i="11" s="1"/>
  <c r="BH77" i="11" s="1"/>
  <c r="BH78" i="11" s="1"/>
  <c r="BH79" i="11" s="1"/>
  <c r="BH80" i="11" s="1"/>
  <c r="BH81" i="11" s="1"/>
  <c r="BH82" i="11" s="1"/>
  <c r="BH83" i="11" s="1"/>
  <c r="BH84" i="11" s="1"/>
  <c r="BH85" i="11" s="1"/>
  <c r="BH86" i="11" s="1"/>
  <c r="BH87" i="11" s="1"/>
  <c r="BH88" i="11" s="1"/>
  <c r="BG4" i="11"/>
  <c r="BG5" i="11" s="1"/>
  <c r="BC2" i="11"/>
  <c r="W4" i="11"/>
  <c r="X4" i="11" s="1"/>
  <c r="S16" i="11" s="1"/>
  <c r="BG6" i="11" l="1"/>
  <c r="BG7" i="11" s="1"/>
  <c r="BG8" i="11" s="1"/>
  <c r="BG9" i="11" s="1"/>
  <c r="BG10" i="11" s="1"/>
  <c r="BG11" i="11" s="1"/>
  <c r="BG12" i="11" s="1"/>
  <c r="BG13" i="11" s="1"/>
  <c r="BG14" i="11" s="1"/>
  <c r="BG15" i="11" s="1"/>
  <c r="BG16" i="11" s="1"/>
  <c r="BG17" i="11" s="1"/>
  <c r="BG18" i="11" s="1"/>
  <c r="BG19" i="11" s="1"/>
  <c r="BG20" i="11" s="1"/>
  <c r="BG21" i="11" s="1"/>
  <c r="BG22" i="11" s="1"/>
  <c r="BG23" i="11" s="1"/>
  <c r="BG24" i="11" s="1"/>
  <c r="BG25" i="11" s="1"/>
  <c r="BG26" i="11" s="1"/>
  <c r="BG27" i="11" s="1"/>
  <c r="BG28" i="11" s="1"/>
  <c r="BG29" i="11" s="1"/>
  <c r="BG30" i="11" s="1"/>
  <c r="BG31" i="11" s="1"/>
  <c r="BG32" i="11" s="1"/>
  <c r="BG33" i="11" s="1"/>
  <c r="BG34" i="11" s="1"/>
  <c r="BG35" i="11" s="1"/>
  <c r="BG36" i="11" s="1"/>
  <c r="BG37" i="11" s="1"/>
  <c r="BG38" i="11" s="1"/>
  <c r="BG39" i="11" s="1"/>
  <c r="BG40" i="11" s="1"/>
  <c r="BG41" i="11" s="1"/>
  <c r="BG42" i="11" s="1"/>
  <c r="BG43" i="11" s="1"/>
  <c r="BG44" i="11" s="1"/>
  <c r="BG45" i="11" s="1"/>
  <c r="BG46" i="11" s="1"/>
  <c r="BG47" i="11" s="1"/>
  <c r="BG48" i="11" s="1"/>
  <c r="BG49" i="11" s="1"/>
  <c r="BG50" i="11" s="1"/>
  <c r="BG51" i="11" s="1"/>
  <c r="BG52" i="11" s="1"/>
  <c r="BG53" i="11" s="1"/>
  <c r="BG54" i="11" s="1"/>
  <c r="BG55" i="11" s="1"/>
  <c r="BG56" i="11" s="1"/>
  <c r="BG57" i="11" s="1"/>
  <c r="BG58" i="11" s="1"/>
  <c r="BG59" i="11" s="1"/>
  <c r="BG60" i="11" s="1"/>
  <c r="BG61" i="11" s="1"/>
  <c r="BG62" i="11" s="1"/>
  <c r="BG63" i="11" s="1"/>
  <c r="BG64" i="11" s="1"/>
  <c r="BG65" i="11" s="1"/>
  <c r="BG66" i="11" s="1"/>
  <c r="BG67" i="11" s="1"/>
  <c r="BG68" i="11" s="1"/>
  <c r="BG69" i="11" s="1"/>
  <c r="BG70" i="11" s="1"/>
  <c r="BG71" i="11" s="1"/>
  <c r="BG72" i="11" s="1"/>
  <c r="BG73" i="11" s="1"/>
  <c r="BG74" i="11" s="1"/>
  <c r="BG75" i="11" s="1"/>
  <c r="BG76" i="11" s="1"/>
  <c r="BG77" i="11" s="1"/>
  <c r="BG78" i="11" s="1"/>
  <c r="BG79" i="11" s="1"/>
  <c r="BG80" i="11" s="1"/>
  <c r="BG81" i="11" s="1"/>
  <c r="BG82" i="11" s="1"/>
  <c r="BG83" i="11" s="1"/>
  <c r="BG84" i="11" s="1"/>
  <c r="BG85" i="11" s="1"/>
  <c r="BG86" i="11" s="1"/>
  <c r="BG87" i="11" s="1"/>
  <c r="BG88" i="11" s="1"/>
  <c r="V19" i="11"/>
  <c r="B109" i="11"/>
  <c r="B37" i="11"/>
  <c r="V23" i="11" l="1"/>
  <c r="U23" i="9" s="1"/>
  <c r="B38" i="11"/>
  <c r="U4" i="11"/>
  <c r="R40" i="11"/>
  <c r="R39" i="11"/>
  <c r="N16" i="11" s="1"/>
  <c r="BC23" i="11" l="1"/>
  <c r="BC24" i="11" s="1"/>
  <c r="B39" i="11"/>
  <c r="R38" i="11"/>
  <c r="R36" i="11"/>
  <c r="AC26" i="11"/>
  <c r="AC27" i="11" s="1"/>
  <c r="AC28" i="11" s="1"/>
  <c r="AC29" i="11" s="1"/>
  <c r="AC30" i="11" s="1"/>
  <c r="AC31" i="11" s="1"/>
  <c r="AC32" i="11" s="1"/>
  <c r="AC33" i="11" s="1"/>
  <c r="N8" i="11" l="1"/>
  <c r="P4" i="11" s="1"/>
  <c r="B40" i="11"/>
  <c r="V26" i="11"/>
  <c r="X2" i="11"/>
  <c r="I248" i="7"/>
  <c r="Z28" i="11" l="1"/>
  <c r="Z16" i="11"/>
  <c r="B41" i="11"/>
  <c r="N8" i="9"/>
  <c r="O43" i="9" s="1"/>
  <c r="G4" i="9"/>
  <c r="G7" i="9" s="1"/>
  <c r="R13" i="11"/>
  <c r="AA7" i="7"/>
  <c r="E3" i="7"/>
  <c r="E3" i="6"/>
  <c r="AW76" i="11"/>
  <c r="AW64" i="11"/>
  <c r="AW52" i="11"/>
  <c r="AW40" i="11"/>
  <c r="AW28" i="11"/>
  <c r="Q24" i="11"/>
  <c r="Q25" i="11" s="1"/>
  <c r="R20" i="11"/>
  <c r="AB3" i="11"/>
  <c r="AW16" i="11"/>
  <c r="X3" i="11"/>
  <c r="W3" i="11"/>
  <c r="V3" i="11"/>
  <c r="O42" i="9" l="1"/>
  <c r="O47" i="9"/>
  <c r="Z43" i="9"/>
  <c r="Z42" i="9"/>
  <c r="B42" i="11"/>
  <c r="V25" i="11"/>
  <c r="V21" i="11"/>
  <c r="V20" i="11"/>
  <c r="AB4" i="11" s="1"/>
  <c r="W2" i="11"/>
  <c r="AK4" i="11"/>
  <c r="X18" i="11"/>
  <c r="AK5" i="11" l="1"/>
  <c r="AK6" i="11" s="1"/>
  <c r="AK7" i="11" s="1"/>
  <c r="AK8" i="11" s="1"/>
  <c r="AK9" i="11" s="1"/>
  <c r="AK10" i="11" s="1"/>
  <c r="AK11" i="11" s="1"/>
  <c r="AK12" i="11" s="1"/>
  <c r="AK13" i="11" s="1"/>
  <c r="AK14" i="11" s="1"/>
  <c r="AK15" i="11" s="1"/>
  <c r="AK16" i="11" s="1"/>
  <c r="AK17" i="11" s="1"/>
  <c r="AK18" i="11" s="1"/>
  <c r="AK19" i="11" s="1"/>
  <c r="AK20" i="11" s="1"/>
  <c r="AK21" i="11" s="1"/>
  <c r="AK22" i="11" s="1"/>
  <c r="AK23" i="11" s="1"/>
  <c r="AK24" i="11" s="1"/>
  <c r="AK25" i="11" s="1"/>
  <c r="AK26" i="11" s="1"/>
  <c r="AK27" i="11" s="1"/>
  <c r="AK28" i="11" s="1"/>
  <c r="AK29" i="11" s="1"/>
  <c r="AK30" i="11" s="1"/>
  <c r="AK31" i="11" s="1"/>
  <c r="AK32" i="11" s="1"/>
  <c r="AK33" i="11" s="1"/>
  <c r="AK34" i="11" s="1"/>
  <c r="AK35" i="11" s="1"/>
  <c r="AK36" i="11" s="1"/>
  <c r="AK37" i="11" s="1"/>
  <c r="AK38" i="11" s="1"/>
  <c r="AK39" i="11" s="1"/>
  <c r="AK40" i="11" s="1"/>
  <c r="AK41" i="11" s="1"/>
  <c r="AK42" i="11" s="1"/>
  <c r="AK43" i="11" s="1"/>
  <c r="AK44" i="11" s="1"/>
  <c r="AK45" i="11" s="1"/>
  <c r="AK46" i="11" s="1"/>
  <c r="AK47" i="11" s="1"/>
  <c r="AK48" i="11" s="1"/>
  <c r="AK49" i="11" s="1"/>
  <c r="AK50" i="11" s="1"/>
  <c r="AK51" i="11" s="1"/>
  <c r="AK52" i="11" s="1"/>
  <c r="AK53" i="11" s="1"/>
  <c r="AK54" i="11" s="1"/>
  <c r="AK55" i="11" s="1"/>
  <c r="AK56" i="11" s="1"/>
  <c r="AK57" i="11" s="1"/>
  <c r="AK58" i="11" s="1"/>
  <c r="AK59" i="11" s="1"/>
  <c r="AK60" i="11" s="1"/>
  <c r="AK61" i="11" s="1"/>
  <c r="AK62" i="11" s="1"/>
  <c r="AK63" i="11" s="1"/>
  <c r="AK64" i="11" s="1"/>
  <c r="AK65" i="11" s="1"/>
  <c r="AK66" i="11" s="1"/>
  <c r="AK67" i="11" s="1"/>
  <c r="AK68" i="11" s="1"/>
  <c r="AK69" i="11" s="1"/>
  <c r="AK70" i="11" s="1"/>
  <c r="AK71" i="11" s="1"/>
  <c r="AK72" i="11" s="1"/>
  <c r="AK73" i="11" s="1"/>
  <c r="AK74" i="11" s="1"/>
  <c r="AK75" i="11" s="1"/>
  <c r="AK76" i="11" s="1"/>
  <c r="AK77" i="11" s="1"/>
  <c r="AK78" i="11" s="1"/>
  <c r="AK79" i="11" s="1"/>
  <c r="AK80" i="11" s="1"/>
  <c r="AK81" i="11" s="1"/>
  <c r="AK82" i="11" s="1"/>
  <c r="AK83" i="11" s="1"/>
  <c r="AK84" i="11" s="1"/>
  <c r="AK85" i="11" s="1"/>
  <c r="AK86" i="11" s="1"/>
  <c r="AK87" i="11" s="1"/>
  <c r="AK88" i="11" s="1"/>
  <c r="AK89" i="11" s="1"/>
  <c r="N4" i="11"/>
  <c r="B43" i="11"/>
  <c r="AB5" i="11"/>
  <c r="B44" i="11" l="1"/>
  <c r="AB6" i="11"/>
  <c r="AX40" i="11"/>
  <c r="AX52" i="11"/>
  <c r="AX76" i="11"/>
  <c r="AX16" i="11"/>
  <c r="AX28" i="11"/>
  <c r="AX64" i="11"/>
  <c r="AB7" i="11" l="1"/>
  <c r="AB8" i="11" s="1"/>
  <c r="AB9" i="11" s="1"/>
  <c r="AB10" i="11" s="1"/>
  <c r="AB11" i="11" s="1"/>
  <c r="AB12" i="11" s="1"/>
  <c r="AB13" i="11" s="1"/>
  <c r="AB14" i="11" s="1"/>
  <c r="AB15" i="11" s="1"/>
  <c r="Q55" i="9"/>
  <c r="Q54" i="9"/>
  <c r="Q53" i="9"/>
  <c r="Q52" i="9"/>
  <c r="Q51" i="9"/>
  <c r="Q56" i="9"/>
  <c r="O46" i="9"/>
  <c r="O44" i="9"/>
  <c r="Q42" i="9"/>
  <c r="O45" i="9"/>
  <c r="Q47" i="9"/>
  <c r="Q46" i="9"/>
  <c r="Q45" i="9"/>
  <c r="Q44" i="9"/>
  <c r="Q43" i="9"/>
  <c r="B45" i="11"/>
  <c r="AX2" i="11"/>
  <c r="AB16" i="11" l="1"/>
  <c r="AB17" i="11" s="1"/>
  <c r="AB18" i="11" s="1"/>
  <c r="AB19" i="11" s="1"/>
  <c r="AB20" i="11" s="1"/>
  <c r="AB21" i="11" s="1"/>
  <c r="AB22" i="11" s="1"/>
  <c r="AB23" i="11" s="1"/>
  <c r="AB24" i="11" s="1"/>
  <c r="AB25" i="11" s="1"/>
  <c r="AB26" i="11" s="1"/>
  <c r="AB27" i="11" s="1"/>
  <c r="AB28" i="11" s="1"/>
  <c r="AB29" i="11" s="1"/>
  <c r="AB30" i="11" s="1"/>
  <c r="AB31" i="11" s="1"/>
  <c r="AB32" i="11" s="1"/>
  <c r="AB33" i="11" s="1"/>
  <c r="O40" i="9"/>
  <c r="S33" i="11" s="1"/>
  <c r="R37" i="11" s="1"/>
  <c r="N6" i="11" s="1"/>
  <c r="R16" i="11" s="1"/>
  <c r="Q49" i="9"/>
  <c r="BC20" i="11" s="1"/>
  <c r="Q40" i="9"/>
  <c r="B46" i="11"/>
  <c r="N30" i="11" l="1"/>
  <c r="Q53" i="11"/>
  <c r="BC26" i="11"/>
  <c r="N6" i="9"/>
  <c r="R33" i="11" s="1"/>
  <c r="E14" i="11" s="1"/>
  <c r="BC21" i="11" s="1"/>
  <c r="B47" i="11"/>
  <c r="AC34" i="11"/>
  <c r="AB34" i="11" s="1"/>
  <c r="BC27" i="11" l="1"/>
  <c r="BC28" i="11" s="1"/>
  <c r="BC29" i="11" s="1"/>
  <c r="B48" i="11"/>
  <c r="AC35" i="11"/>
  <c r="AB35" i="11" s="1"/>
  <c r="B49" i="11" l="1"/>
  <c r="AC36" i="11"/>
  <c r="AB36" i="11" s="1"/>
  <c r="B50" i="11" l="1"/>
  <c r="AC37" i="11"/>
  <c r="AB37" i="11" s="1"/>
  <c r="B51" i="11" l="1"/>
  <c r="AC38" i="11"/>
  <c r="AB38" i="11" s="1"/>
  <c r="B52" i="11" l="1"/>
  <c r="AC39" i="11"/>
  <c r="AB39" i="11" s="1"/>
  <c r="B53" i="11" l="1"/>
  <c r="AC40" i="11"/>
  <c r="Z40" i="11" s="1"/>
  <c r="AB40" i="11" l="1"/>
  <c r="B54" i="11"/>
  <c r="AC41" i="11"/>
  <c r="AB41" i="11" l="1"/>
  <c r="B55" i="11"/>
  <c r="AC42" i="11"/>
  <c r="AB42" i="11" l="1"/>
  <c r="B56" i="11"/>
  <c r="AC43" i="11"/>
  <c r="AB43" i="11" l="1"/>
  <c r="B57" i="11"/>
  <c r="AC44" i="11"/>
  <c r="AB44" i="11" l="1"/>
  <c r="B58" i="11"/>
  <c r="AC45" i="11"/>
  <c r="AB45" i="11" l="1"/>
  <c r="B59" i="11"/>
  <c r="AC46" i="11"/>
  <c r="AB46" i="11" l="1"/>
  <c r="B60" i="11"/>
  <c r="AC47" i="11"/>
  <c r="AB47" i="11" l="1"/>
  <c r="B61" i="11"/>
  <c r="AC48" i="11"/>
  <c r="AB48" i="11" l="1"/>
  <c r="B62" i="11"/>
  <c r="AC49" i="11"/>
  <c r="AB49" i="11" l="1"/>
  <c r="B63" i="11"/>
  <c r="AC50" i="11"/>
  <c r="AB50" i="11" l="1"/>
  <c r="B64" i="11"/>
  <c r="AC51" i="11"/>
  <c r="AB51" i="11" l="1"/>
  <c r="B65" i="11"/>
  <c r="AC52" i="11"/>
  <c r="Z52" i="11" s="1"/>
  <c r="AB52" i="11" l="1"/>
  <c r="B66" i="11"/>
  <c r="AC53" i="11"/>
  <c r="AB53" i="11" l="1"/>
  <c r="B67" i="11"/>
  <c r="AC54" i="11"/>
  <c r="AB54" i="11" l="1"/>
  <c r="B68" i="11"/>
  <c r="AC55" i="11"/>
  <c r="AB55" i="11" l="1"/>
  <c r="B69" i="11"/>
  <c r="AC56" i="11"/>
  <c r="AB56" i="11" l="1"/>
  <c r="B70" i="11"/>
  <c r="AC57" i="11"/>
  <c r="AB57" i="11" l="1"/>
  <c r="B71" i="11"/>
  <c r="AC58" i="11"/>
  <c r="AB58" i="11" l="1"/>
  <c r="B72" i="11"/>
  <c r="AC59" i="11"/>
  <c r="AB59" i="11" l="1"/>
  <c r="B73" i="11"/>
  <c r="AC60" i="11"/>
  <c r="AB60" i="11" l="1"/>
  <c r="B74" i="11"/>
  <c r="AC61" i="11"/>
  <c r="AB61" i="11" l="1"/>
  <c r="B75" i="11"/>
  <c r="AC62" i="11"/>
  <c r="AB62" i="11" l="1"/>
  <c r="B76" i="11"/>
  <c r="AC63" i="11"/>
  <c r="AB63" i="11" l="1"/>
  <c r="B77" i="11"/>
  <c r="AC64" i="11"/>
  <c r="Z64" i="11" s="1"/>
  <c r="AB64" i="11" l="1"/>
  <c r="B78" i="11"/>
  <c r="AC65" i="11"/>
  <c r="AB65" i="11" l="1"/>
  <c r="B79" i="11"/>
  <c r="AC66" i="11"/>
  <c r="AB66" i="11" l="1"/>
  <c r="B80" i="11"/>
  <c r="AC67" i="11"/>
  <c r="AB67" i="11" l="1"/>
  <c r="B81" i="11"/>
  <c r="AC68" i="11"/>
  <c r="AB68" i="11" l="1"/>
  <c r="B82" i="11"/>
  <c r="AC69" i="11"/>
  <c r="AB69" i="11" l="1"/>
  <c r="B83" i="11"/>
  <c r="AC70" i="11"/>
  <c r="AB70" i="11" l="1"/>
  <c r="B84" i="11"/>
  <c r="AC71" i="11"/>
  <c r="AB71" i="11" l="1"/>
  <c r="B85" i="11"/>
  <c r="AC72" i="11"/>
  <c r="AB72" i="11" l="1"/>
  <c r="B86" i="11"/>
  <c r="AC73" i="11"/>
  <c r="AB73" i="11" l="1"/>
  <c r="B87" i="11"/>
  <c r="AC74" i="11"/>
  <c r="AB74" i="11" l="1"/>
  <c r="B88" i="11"/>
  <c r="AC75" i="11"/>
  <c r="AB75" i="11" l="1"/>
  <c r="B89" i="11"/>
  <c r="AC76" i="11"/>
  <c r="Z76" i="11" s="1"/>
  <c r="AB76" i="11" l="1"/>
  <c r="Z3" i="11"/>
  <c r="N10" i="11" s="1"/>
  <c r="B90" i="11"/>
  <c r="AC77" i="11"/>
  <c r="AB77" i="11" l="1"/>
  <c r="B91" i="11"/>
  <c r="AC78" i="11"/>
  <c r="AB78" i="11" l="1"/>
  <c r="B92" i="11"/>
  <c r="AC79" i="11"/>
  <c r="AB79" i="11" l="1"/>
  <c r="B93" i="11"/>
  <c r="AC80" i="11"/>
  <c r="AB80" i="11" l="1"/>
  <c r="B94" i="11"/>
  <c r="AC81" i="11"/>
  <c r="AB81" i="11" l="1"/>
  <c r="B95" i="11"/>
  <c r="AC82" i="11"/>
  <c r="AB82" i="11" l="1"/>
  <c r="B96" i="11"/>
  <c r="AC83" i="11"/>
  <c r="AB83" i="11" l="1"/>
  <c r="B97" i="11"/>
  <c r="AC84" i="11"/>
  <c r="AB84" i="11" l="1"/>
  <c r="B98" i="11"/>
  <c r="AC85" i="11"/>
  <c r="AB85" i="11" l="1"/>
  <c r="B99" i="11"/>
  <c r="AC86" i="11"/>
  <c r="AB86" i="11" l="1"/>
  <c r="B100" i="11"/>
  <c r="AC87" i="11"/>
  <c r="AB87" i="11" s="1"/>
  <c r="B101" i="11" l="1"/>
  <c r="B102" i="11" l="1"/>
  <c r="B103" i="11" l="1"/>
  <c r="B104" i="11" l="1"/>
  <c r="B105" i="11" l="1"/>
  <c r="B106" i="11" l="1"/>
  <c r="B107" i="11" l="1"/>
  <c r="B108" i="11" l="1"/>
  <c r="C2" i="10" l="1"/>
  <c r="F6" i="10" s="1"/>
  <c r="Y12" i="7"/>
  <c r="Z6" i="7"/>
  <c r="Y5" i="7"/>
  <c r="Z7" i="7"/>
  <c r="Y7" i="7" s="1"/>
  <c r="P43" i="9"/>
  <c r="P42" i="9"/>
  <c r="P40" i="9" l="1"/>
  <c r="Z40" i="9"/>
  <c r="C4" i="10"/>
  <c r="C4" i="7"/>
  <c r="B7" i="7" s="1"/>
  <c r="T39" i="9"/>
  <c r="P4" i="7" l="1"/>
  <c r="C18" i="10"/>
  <c r="Y8" i="7" s="1"/>
  <c r="AB26" i="9"/>
  <c r="AB27" i="9" s="1"/>
  <c r="P24" i="9"/>
  <c r="P25" i="9" s="1"/>
  <c r="Q20" i="9"/>
  <c r="U19" i="9"/>
  <c r="U20" i="9" s="1"/>
  <c r="Q12" i="9"/>
  <c r="Q13" i="9" s="1"/>
  <c r="S4" i="9"/>
  <c r="H10" i="1"/>
  <c r="N46" i="9" l="1"/>
  <c r="Y9" i="7" s="1"/>
  <c r="N25" i="9"/>
  <c r="G19" i="9"/>
  <c r="U21" i="9"/>
  <c r="N15" i="9"/>
  <c r="N31" i="9" s="1"/>
  <c r="Q15" i="9"/>
  <c r="Q16" i="9"/>
  <c r="N12" i="9" s="1"/>
  <c r="N34" i="9" s="1"/>
  <c r="AB28" i="9"/>
  <c r="D16" i="1"/>
  <c r="C4" i="1"/>
  <c r="AB29" i="9" l="1"/>
  <c r="N4" i="9"/>
  <c r="W18" i="9"/>
  <c r="T4" i="9"/>
  <c r="G10" i="9"/>
  <c r="E7" i="1"/>
  <c r="D7" i="1"/>
  <c r="D4" i="1"/>
  <c r="N28" i="9" l="1"/>
  <c r="N49" i="9" s="1"/>
  <c r="AB30" i="9"/>
  <c r="AH20" i="7"/>
  <c r="AH21" i="7"/>
  <c r="AH22" i="7"/>
  <c r="AH23" i="7"/>
  <c r="AH19" i="7"/>
  <c r="AG19" i="7"/>
  <c r="AI19" i="7"/>
  <c r="AJ19" i="7"/>
  <c r="AG20" i="7"/>
  <c r="AI20" i="7"/>
  <c r="AJ20" i="7"/>
  <c r="AG21" i="7"/>
  <c r="AI21" i="7"/>
  <c r="AJ21" i="7"/>
  <c r="AG22" i="7"/>
  <c r="AI22" i="7"/>
  <c r="AJ22" i="7"/>
  <c r="AG23" i="7"/>
  <c r="AI23" i="7"/>
  <c r="AJ23" i="7"/>
  <c r="AF20" i="7"/>
  <c r="AF21" i="7"/>
  <c r="AF22" i="7"/>
  <c r="AF23" i="7"/>
  <c r="AF19" i="7"/>
  <c r="AB31" i="9" l="1"/>
  <c r="E2" i="7" l="1"/>
  <c r="H6" i="1" s="1"/>
  <c r="E2" i="6" s="1"/>
  <c r="AB32" i="9"/>
  <c r="AB33" i="9" l="1"/>
  <c r="E12" i="1"/>
  <c r="E13" i="1" s="1"/>
  <c r="C8" i="1"/>
  <c r="AU89" i="11" l="1"/>
  <c r="H11" i="1"/>
  <c r="AB34" i="9"/>
  <c r="H82" i="1"/>
  <c r="H91" i="1"/>
  <c r="AU90" i="11" l="1"/>
  <c r="AB35" i="9"/>
  <c r="C97" i="8"/>
  <c r="C56" i="8"/>
  <c r="C122" i="1"/>
  <c r="C80" i="1"/>
  <c r="AB36" i="9" l="1"/>
  <c r="C140" i="1"/>
  <c r="I248" i="6"/>
  <c r="C13" i="1"/>
  <c r="AB37" i="9" l="1"/>
  <c r="D67" i="8"/>
  <c r="C67" i="8"/>
  <c r="D65" i="8"/>
  <c r="C65" i="8"/>
  <c r="D62" i="8"/>
  <c r="C62" i="8"/>
  <c r="E86" i="1"/>
  <c r="D86" i="1"/>
  <c r="C86" i="1"/>
  <c r="C89" i="1"/>
  <c r="E89" i="1"/>
  <c r="D89" i="1"/>
  <c r="E91" i="1"/>
  <c r="D91" i="1"/>
  <c r="C91" i="1"/>
  <c r="AB38" i="9" l="1"/>
  <c r="C126" i="1"/>
  <c r="C101" i="8" s="1"/>
  <c r="I78" i="1"/>
  <c r="I77" i="1"/>
  <c r="H78" i="1"/>
  <c r="H77" i="1"/>
  <c r="E16" i="7"/>
  <c r="D16" i="7"/>
  <c r="C16" i="7"/>
  <c r="B16" i="7"/>
  <c r="D16" i="6"/>
  <c r="E16" i="6"/>
  <c r="C16" i="6"/>
  <c r="I76" i="1" s="1"/>
  <c r="B16" i="6"/>
  <c r="H75" i="1" s="1"/>
  <c r="AB39" i="9" l="1"/>
  <c r="H76" i="1"/>
  <c r="I75" i="1"/>
  <c r="C110" i="1"/>
  <c r="C109" i="1"/>
  <c r="C108" i="1"/>
  <c r="C84" i="8"/>
  <c r="C85" i="8"/>
  <c r="C86" i="8" l="1"/>
  <c r="AB40" i="9"/>
  <c r="D9" i="4"/>
  <c r="C93" i="8"/>
  <c r="C81" i="8"/>
  <c r="C80" i="8"/>
  <c r="C79" i="8"/>
  <c r="C71" i="8"/>
  <c r="C75" i="8"/>
  <c r="C72" i="8"/>
  <c r="C40" i="8"/>
  <c r="C41" i="8"/>
  <c r="C42" i="8"/>
  <c r="C39" i="8"/>
  <c r="C4" i="6"/>
  <c r="AB41" i="9" l="1"/>
  <c r="C94" i="8"/>
  <c r="C95" i="8" s="1"/>
  <c r="D7" i="4" s="1"/>
  <c r="C87" i="8"/>
  <c r="C83" i="8" s="1"/>
  <c r="C76" i="8"/>
  <c r="D66" i="8"/>
  <c r="C66" i="8"/>
  <c r="D63" i="8"/>
  <c r="C63" i="8"/>
  <c r="D61" i="8"/>
  <c r="D64" i="8" s="1"/>
  <c r="C61" i="8"/>
  <c r="C64" i="8" s="1"/>
  <c r="C57" i="8"/>
  <c r="C58" i="8" s="1"/>
  <c r="D3" i="4" s="1"/>
  <c r="AB42" i="9" l="1"/>
  <c r="C88" i="8"/>
  <c r="C68" i="8"/>
  <c r="D68" i="8"/>
  <c r="AB43" i="9" l="1"/>
  <c r="C69" i="8"/>
  <c r="AB44" i="9" l="1"/>
  <c r="B8" i="6"/>
  <c r="AB45" i="9" l="1"/>
  <c r="G5" i="7"/>
  <c r="B8" i="7"/>
  <c r="C77" i="1"/>
  <c r="C53" i="8" s="1"/>
  <c r="H88" i="1"/>
  <c r="C107" i="8" s="1"/>
  <c r="C108" i="8" s="1"/>
  <c r="D10" i="4" s="1"/>
  <c r="C99" i="8"/>
  <c r="D8" i="4" s="1"/>
  <c r="P5" i="7" l="1"/>
  <c r="AJ4" i="9"/>
  <c r="AJ5" i="9" s="1"/>
  <c r="AJ6" i="9" s="1"/>
  <c r="AJ7" i="9" s="1"/>
  <c r="AJ8" i="9" s="1"/>
  <c r="AJ9" i="9" s="1"/>
  <c r="AJ10" i="9" s="1"/>
  <c r="AJ11" i="9" s="1"/>
  <c r="AJ12" i="9" s="1"/>
  <c r="AJ13" i="9" s="1"/>
  <c r="AJ14" i="9" s="1"/>
  <c r="AJ15" i="9" s="1"/>
  <c r="AJ16" i="9" s="1"/>
  <c r="AJ17" i="9" s="1"/>
  <c r="AJ18" i="9" s="1"/>
  <c r="AJ19" i="9" s="1"/>
  <c r="AJ20" i="9" s="1"/>
  <c r="AJ21" i="9" s="1"/>
  <c r="AJ22" i="9" s="1"/>
  <c r="AJ23" i="9" s="1"/>
  <c r="AJ24" i="9" s="1"/>
  <c r="AJ25" i="9" s="1"/>
  <c r="AJ26" i="9" s="1"/>
  <c r="AJ27" i="9" s="1"/>
  <c r="AJ28" i="9" s="1"/>
  <c r="AJ29" i="9" s="1"/>
  <c r="AJ30" i="9" s="1"/>
  <c r="AJ31" i="9" s="1"/>
  <c r="AJ32" i="9" s="1"/>
  <c r="AJ33" i="9" s="1"/>
  <c r="AJ34" i="9" s="1"/>
  <c r="AJ35" i="9" s="1"/>
  <c r="AJ36" i="9" s="1"/>
  <c r="AJ37" i="9" s="1"/>
  <c r="AJ38" i="9" s="1"/>
  <c r="AJ39" i="9" s="1"/>
  <c r="AJ40" i="9" s="1"/>
  <c r="AJ41" i="9" s="1"/>
  <c r="AJ42" i="9" s="1"/>
  <c r="AJ43" i="9" s="1"/>
  <c r="AJ44" i="9" s="1"/>
  <c r="AJ45" i="9" s="1"/>
  <c r="AJ46" i="9" s="1"/>
  <c r="AJ47" i="9" s="1"/>
  <c r="AJ48" i="9" s="1"/>
  <c r="AJ49" i="9" s="1"/>
  <c r="AJ50" i="9" s="1"/>
  <c r="AJ51" i="9" s="1"/>
  <c r="AJ52" i="9" s="1"/>
  <c r="AJ53" i="9" s="1"/>
  <c r="AJ54" i="9" s="1"/>
  <c r="AJ55" i="9" s="1"/>
  <c r="AJ56" i="9" s="1"/>
  <c r="AJ57" i="9" s="1"/>
  <c r="AJ58" i="9" s="1"/>
  <c r="AJ59" i="9" s="1"/>
  <c r="AJ60" i="9" s="1"/>
  <c r="AJ61" i="9" s="1"/>
  <c r="AJ62" i="9" s="1"/>
  <c r="AJ63" i="9" s="1"/>
  <c r="AJ64" i="9" s="1"/>
  <c r="AJ65" i="9" s="1"/>
  <c r="AJ66" i="9" s="1"/>
  <c r="AJ67" i="9" s="1"/>
  <c r="AJ68" i="9" s="1"/>
  <c r="AJ69" i="9" s="1"/>
  <c r="AJ70" i="9" s="1"/>
  <c r="AJ71" i="9" s="1"/>
  <c r="AJ72" i="9" s="1"/>
  <c r="AJ73" i="9" s="1"/>
  <c r="AJ74" i="9" s="1"/>
  <c r="AJ75" i="9" s="1"/>
  <c r="AJ76" i="9" s="1"/>
  <c r="AJ77" i="9" s="1"/>
  <c r="AJ78" i="9" s="1"/>
  <c r="AJ79" i="9" s="1"/>
  <c r="AJ80" i="9" s="1"/>
  <c r="AJ81" i="9" s="1"/>
  <c r="AJ82" i="9" s="1"/>
  <c r="AJ83" i="9" s="1"/>
  <c r="AJ84" i="9" s="1"/>
  <c r="AJ85" i="9" s="1"/>
  <c r="AJ86" i="9" s="1"/>
  <c r="AJ87" i="9" s="1"/>
  <c r="AJ88" i="9" s="1"/>
  <c r="AJ89" i="9" s="1"/>
  <c r="AA4" i="9"/>
  <c r="AB46" i="9"/>
  <c r="C76" i="1"/>
  <c r="AB47" i="9" l="1"/>
  <c r="C78" i="1"/>
  <c r="C54" i="8" s="1"/>
  <c r="C52" i="8"/>
  <c r="E8" i="6"/>
  <c r="N248" i="7"/>
  <c r="M248" i="7"/>
  <c r="L248" i="7"/>
  <c r="K248" i="7"/>
  <c r="J248" i="7"/>
  <c r="F248" i="7"/>
  <c r="N5" i="7"/>
  <c r="M4" i="7"/>
  <c r="K4" i="7"/>
  <c r="J4" i="7"/>
  <c r="I4" i="7"/>
  <c r="J1" i="7"/>
  <c r="AB48" i="9" l="1"/>
  <c r="C89" i="8"/>
  <c r="D6" i="4" s="1"/>
  <c r="C77" i="8"/>
  <c r="E8" i="7"/>
  <c r="B14" i="7"/>
  <c r="B14" i="6"/>
  <c r="H5" i="6"/>
  <c r="G5" i="6"/>
  <c r="AB49" i="9" l="1"/>
  <c r="H5" i="7"/>
  <c r="H6" i="7" s="1"/>
  <c r="G6" i="7" s="1"/>
  <c r="D5" i="4"/>
  <c r="B11" i="7"/>
  <c r="B10" i="7"/>
  <c r="B9" i="7"/>
  <c r="B10" i="6"/>
  <c r="B9" i="6"/>
  <c r="H6" i="6"/>
  <c r="G6" i="6" s="1"/>
  <c r="J1" i="6"/>
  <c r="AA5" i="9" l="1"/>
  <c r="AB50" i="9"/>
  <c r="P6" i="7"/>
  <c r="F6" i="7"/>
  <c r="F5" i="7"/>
  <c r="H7" i="6"/>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H42" i="6" s="1"/>
  <c r="H43" i="6" s="1"/>
  <c r="H44" i="6" s="1"/>
  <c r="H45" i="6" s="1"/>
  <c r="H46" i="6" s="1"/>
  <c r="H47" i="6" s="1"/>
  <c r="H48" i="6" s="1"/>
  <c r="H49" i="6" s="1"/>
  <c r="H50" i="6" s="1"/>
  <c r="H51" i="6" s="1"/>
  <c r="H52" i="6" s="1"/>
  <c r="H53" i="6" s="1"/>
  <c r="H54" i="6" s="1"/>
  <c r="H55" i="6" s="1"/>
  <c r="H56" i="6" s="1"/>
  <c r="H57" i="6" s="1"/>
  <c r="H58" i="6" s="1"/>
  <c r="H59" i="6" s="1"/>
  <c r="H60" i="6" s="1"/>
  <c r="H61" i="6" s="1"/>
  <c r="H62" i="6" s="1"/>
  <c r="H63" i="6" s="1"/>
  <c r="H64" i="6" s="1"/>
  <c r="H65" i="6" s="1"/>
  <c r="H66" i="6" s="1"/>
  <c r="H67" i="6" s="1"/>
  <c r="H68" i="6" s="1"/>
  <c r="H69" i="6" s="1"/>
  <c r="H70" i="6" s="1"/>
  <c r="H71" i="6" s="1"/>
  <c r="H72" i="6" s="1"/>
  <c r="H73" i="6" s="1"/>
  <c r="H74" i="6" s="1"/>
  <c r="H75" i="6" s="1"/>
  <c r="H76" i="6" s="1"/>
  <c r="H77" i="6" s="1"/>
  <c r="H78" i="6" s="1"/>
  <c r="H79" i="6" s="1"/>
  <c r="H80" i="6" s="1"/>
  <c r="H81" i="6" s="1"/>
  <c r="H82" i="6" s="1"/>
  <c r="H83" i="6" s="1"/>
  <c r="H84" i="6" s="1"/>
  <c r="H85" i="6" s="1"/>
  <c r="H86" i="6" s="1"/>
  <c r="H87" i="6" s="1"/>
  <c r="H88" i="6" s="1"/>
  <c r="H89" i="6" s="1"/>
  <c r="H90" i="6" s="1"/>
  <c r="H91" i="6" s="1"/>
  <c r="H92" i="6" s="1"/>
  <c r="H93" i="6" s="1"/>
  <c r="H94" i="6" s="1"/>
  <c r="H95" i="6" s="1"/>
  <c r="H96" i="6" s="1"/>
  <c r="H97" i="6" s="1"/>
  <c r="H98" i="6" s="1"/>
  <c r="H99" i="6" s="1"/>
  <c r="H100" i="6" s="1"/>
  <c r="H101" i="6" s="1"/>
  <c r="H102" i="6" s="1"/>
  <c r="H103" i="6" s="1"/>
  <c r="H104" i="6" s="1"/>
  <c r="H105" i="6" s="1"/>
  <c r="H106" i="6" s="1"/>
  <c r="H107" i="6" s="1"/>
  <c r="H108" i="6" s="1"/>
  <c r="H109" i="6" s="1"/>
  <c r="H110" i="6" s="1"/>
  <c r="H111" i="6" s="1"/>
  <c r="H112" i="6" s="1"/>
  <c r="H113" i="6" s="1"/>
  <c r="H114" i="6" s="1"/>
  <c r="H115" i="6" s="1"/>
  <c r="H116" i="6" s="1"/>
  <c r="H117" i="6" s="1"/>
  <c r="H118" i="6" s="1"/>
  <c r="H119" i="6" s="1"/>
  <c r="H120" i="6" s="1"/>
  <c r="H121" i="6" s="1"/>
  <c r="H122" i="6" s="1"/>
  <c r="H123" i="6" s="1"/>
  <c r="H124" i="6" s="1"/>
  <c r="H125" i="6" s="1"/>
  <c r="H126" i="6" s="1"/>
  <c r="H127" i="6" s="1"/>
  <c r="H128" i="6" s="1"/>
  <c r="H129" i="6" s="1"/>
  <c r="H130" i="6" s="1"/>
  <c r="H131" i="6" s="1"/>
  <c r="H132" i="6" s="1"/>
  <c r="H133" i="6" s="1"/>
  <c r="H134" i="6" s="1"/>
  <c r="H135" i="6" s="1"/>
  <c r="H136" i="6" s="1"/>
  <c r="H137" i="6" s="1"/>
  <c r="H138" i="6" s="1"/>
  <c r="H139" i="6" s="1"/>
  <c r="H140" i="6" s="1"/>
  <c r="H141" i="6" s="1"/>
  <c r="H142" i="6" s="1"/>
  <c r="H143" i="6" s="1"/>
  <c r="H144" i="6" s="1"/>
  <c r="H145" i="6" s="1"/>
  <c r="H146" i="6" s="1"/>
  <c r="H147" i="6" s="1"/>
  <c r="H148" i="6" s="1"/>
  <c r="H149" i="6" s="1"/>
  <c r="H150" i="6" s="1"/>
  <c r="H151" i="6" s="1"/>
  <c r="H152" i="6" s="1"/>
  <c r="H153" i="6" s="1"/>
  <c r="H154" i="6" s="1"/>
  <c r="H155" i="6" s="1"/>
  <c r="H156" i="6" s="1"/>
  <c r="H157" i="6" s="1"/>
  <c r="H158" i="6" s="1"/>
  <c r="H159" i="6" s="1"/>
  <c r="H160" i="6" s="1"/>
  <c r="H161" i="6" s="1"/>
  <c r="H162" i="6" s="1"/>
  <c r="H163" i="6" s="1"/>
  <c r="H164" i="6" s="1"/>
  <c r="H165" i="6" s="1"/>
  <c r="H166" i="6" s="1"/>
  <c r="H167" i="6" s="1"/>
  <c r="H168" i="6" s="1"/>
  <c r="H169" i="6" s="1"/>
  <c r="H170" i="6" s="1"/>
  <c r="H171" i="6" s="1"/>
  <c r="H172" i="6" s="1"/>
  <c r="H173" i="6" s="1"/>
  <c r="H174" i="6" s="1"/>
  <c r="H175" i="6" s="1"/>
  <c r="H176" i="6" s="1"/>
  <c r="H177" i="6" s="1"/>
  <c r="H178" i="6" s="1"/>
  <c r="H179" i="6" s="1"/>
  <c r="H180" i="6" s="1"/>
  <c r="H181" i="6" s="1"/>
  <c r="H182" i="6" s="1"/>
  <c r="H183" i="6" s="1"/>
  <c r="H184" i="6" s="1"/>
  <c r="H185" i="6" s="1"/>
  <c r="H186" i="6" s="1"/>
  <c r="H187" i="6" s="1"/>
  <c r="H188" i="6" s="1"/>
  <c r="H189" i="6" s="1"/>
  <c r="H190" i="6" s="1"/>
  <c r="H191" i="6" s="1"/>
  <c r="H192" i="6" s="1"/>
  <c r="H193" i="6" s="1"/>
  <c r="H194" i="6" s="1"/>
  <c r="H195" i="6" s="1"/>
  <c r="H196" i="6" s="1"/>
  <c r="H197" i="6" s="1"/>
  <c r="H198" i="6" s="1"/>
  <c r="H199" i="6" s="1"/>
  <c r="H200" i="6" s="1"/>
  <c r="H201" i="6" s="1"/>
  <c r="H202" i="6" s="1"/>
  <c r="H203" i="6" s="1"/>
  <c r="H204" i="6" s="1"/>
  <c r="H205" i="6" s="1"/>
  <c r="H206" i="6" s="1"/>
  <c r="H207" i="6" s="1"/>
  <c r="H208" i="6" s="1"/>
  <c r="H209" i="6" s="1"/>
  <c r="H210" i="6" s="1"/>
  <c r="H211" i="6" s="1"/>
  <c r="H212" i="6" s="1"/>
  <c r="H213" i="6" s="1"/>
  <c r="H214" i="6" s="1"/>
  <c r="H215" i="6" s="1"/>
  <c r="H216" i="6" s="1"/>
  <c r="H217" i="6" s="1"/>
  <c r="H218" i="6" s="1"/>
  <c r="H219" i="6" s="1"/>
  <c r="H220" i="6" s="1"/>
  <c r="H221" i="6" s="1"/>
  <c r="H222" i="6" s="1"/>
  <c r="H223" i="6" s="1"/>
  <c r="H224" i="6" s="1"/>
  <c r="H225" i="6" s="1"/>
  <c r="H226" i="6" s="1"/>
  <c r="H227" i="6" s="1"/>
  <c r="H228" i="6" s="1"/>
  <c r="H229" i="6" s="1"/>
  <c r="H230" i="6" s="1"/>
  <c r="H231" i="6" s="1"/>
  <c r="H232" i="6" s="1"/>
  <c r="H233" i="6" s="1"/>
  <c r="H234" i="6" s="1"/>
  <c r="H235" i="6" s="1"/>
  <c r="H236" i="6" s="1"/>
  <c r="H237" i="6" s="1"/>
  <c r="H238" i="6" s="1"/>
  <c r="H239" i="6" s="1"/>
  <c r="H240" i="6" s="1"/>
  <c r="H241" i="6" s="1"/>
  <c r="H242" i="6" s="1"/>
  <c r="H243" i="6" s="1"/>
  <c r="H244" i="6" s="1"/>
  <c r="H7" i="7"/>
  <c r="G7" i="7" s="1"/>
  <c r="K4" i="6"/>
  <c r="J4" i="6"/>
  <c r="B11" i="6"/>
  <c r="F5" i="6" s="1"/>
  <c r="I4" i="6"/>
  <c r="M4" i="6"/>
  <c r="AA6" i="9" l="1"/>
  <c r="AB51" i="9"/>
  <c r="P7" i="7"/>
  <c r="F7" i="7"/>
  <c r="F6" i="6"/>
  <c r="G7" i="6"/>
  <c r="H245" i="6"/>
  <c r="N6" i="7"/>
  <c r="H8" i="7"/>
  <c r="G8" i="7" s="1"/>
  <c r="AA7" i="9" l="1"/>
  <c r="AB52" i="9"/>
  <c r="P8" i="7"/>
  <c r="F7" i="6"/>
  <c r="F8" i="7"/>
  <c r="G8" i="6"/>
  <c r="H246" i="6"/>
  <c r="H247" i="6" s="1"/>
  <c r="H9" i="7"/>
  <c r="G9" i="7" s="1"/>
  <c r="N7" i="7"/>
  <c r="AA8" i="9" l="1"/>
  <c r="AB53" i="9"/>
  <c r="P9" i="7"/>
  <c r="F8" i="6"/>
  <c r="F9" i="7"/>
  <c r="G9" i="6"/>
  <c r="H10" i="7"/>
  <c r="G10" i="7" s="1"/>
  <c r="N8" i="7"/>
  <c r="AA9" i="9" l="1"/>
  <c r="AB54" i="9"/>
  <c r="P10" i="7"/>
  <c r="F9" i="6"/>
  <c r="F10" i="7"/>
  <c r="G10" i="6"/>
  <c r="N9" i="7"/>
  <c r="H11" i="7"/>
  <c r="G11" i="7" s="1"/>
  <c r="D108" i="1"/>
  <c r="D109" i="1"/>
  <c r="D110" i="1"/>
  <c r="D112" i="1"/>
  <c r="D107" i="1" s="1"/>
  <c r="C100" i="1"/>
  <c r="E85" i="1"/>
  <c r="E88" i="1" s="1"/>
  <c r="E87" i="1"/>
  <c r="E90" i="1"/>
  <c r="AA10" i="9" l="1"/>
  <c r="AB55" i="9"/>
  <c r="P11" i="7"/>
  <c r="F10" i="6"/>
  <c r="F11" i="7"/>
  <c r="G11" i="6"/>
  <c r="N10" i="7"/>
  <c r="H12" i="7"/>
  <c r="G12" i="7" s="1"/>
  <c r="D111" i="1"/>
  <c r="E92" i="1"/>
  <c r="AA11" i="9" l="1"/>
  <c r="AB56" i="9"/>
  <c r="P12" i="7"/>
  <c r="F11" i="6"/>
  <c r="F12" i="7"/>
  <c r="G12" i="6"/>
  <c r="N11" i="7"/>
  <c r="H13" i="7"/>
  <c r="G13" i="7" s="1"/>
  <c r="D90" i="1"/>
  <c r="C90" i="1"/>
  <c r="C146" i="1"/>
  <c r="AA12" i="9" l="1"/>
  <c r="AB57" i="9"/>
  <c r="P13" i="7"/>
  <c r="F12" i="6"/>
  <c r="F13" i="7"/>
  <c r="G13" i="6"/>
  <c r="N12" i="7"/>
  <c r="H14" i="7"/>
  <c r="G14" i="7" s="1"/>
  <c r="C172" i="1"/>
  <c r="AA13" i="9" l="1"/>
  <c r="AB58" i="9"/>
  <c r="P14" i="7"/>
  <c r="F13" i="6"/>
  <c r="F14" i="7"/>
  <c r="G14" i="6"/>
  <c r="H15" i="7"/>
  <c r="G15" i="7" s="1"/>
  <c r="N13" i="7"/>
  <c r="C166" i="1"/>
  <c r="C112" i="1"/>
  <c r="C165" i="1"/>
  <c r="C164" i="1"/>
  <c r="C163" i="1"/>
  <c r="C161" i="1"/>
  <c r="C160" i="1"/>
  <c r="C159" i="1"/>
  <c r="C158" i="1"/>
  <c r="C157" i="1"/>
  <c r="C155" i="1"/>
  <c r="C145" i="1"/>
  <c r="C147" i="1" s="1"/>
  <c r="C167" i="1" s="1"/>
  <c r="B60" i="1"/>
  <c r="AA14" i="9" l="1"/>
  <c r="AB59" i="9"/>
  <c r="P15" i="7"/>
  <c r="F14" i="6"/>
  <c r="F15" i="7"/>
  <c r="G15" i="6"/>
  <c r="H16" i="7"/>
  <c r="G16" i="7" s="1"/>
  <c r="N14" i="7"/>
  <c r="C156" i="1"/>
  <c r="C162" i="1"/>
  <c r="AA15" i="9" l="1"/>
  <c r="AB60" i="9"/>
  <c r="P16" i="7"/>
  <c r="F15" i="6"/>
  <c r="F16" i="7"/>
  <c r="G16" i="6"/>
  <c r="H17" i="7"/>
  <c r="R17" i="7" s="1"/>
  <c r="N15" i="7"/>
  <c r="C104" i="1"/>
  <c r="D113" i="1" s="1"/>
  <c r="D85" i="1"/>
  <c r="D88" i="1" s="1"/>
  <c r="C96" i="1"/>
  <c r="C85" i="1"/>
  <c r="C88" i="1" s="1"/>
  <c r="C132" i="1"/>
  <c r="C118" i="1"/>
  <c r="C105" i="1"/>
  <c r="C107" i="1" s="1"/>
  <c r="C103" i="1"/>
  <c r="C99" i="1"/>
  <c r="C95" i="1"/>
  <c r="AB61" i="9" l="1"/>
  <c r="G17" i="7"/>
  <c r="F16" i="6"/>
  <c r="C111" i="1"/>
  <c r="C113" i="1" s="1"/>
  <c r="G17" i="6"/>
  <c r="H18" i="7"/>
  <c r="N16" i="7"/>
  <c r="C133" i="1"/>
  <c r="C10" i="4" s="1"/>
  <c r="C9" i="4"/>
  <c r="C124" i="1"/>
  <c r="C119" i="1"/>
  <c r="C120" i="1" s="1"/>
  <c r="C7" i="4" s="1"/>
  <c r="AA16" i="9" l="1"/>
  <c r="AB62" i="9"/>
  <c r="F17" i="7"/>
  <c r="P17" i="7"/>
  <c r="G18" i="7"/>
  <c r="F17" i="6"/>
  <c r="G18" i="6"/>
  <c r="H19" i="7"/>
  <c r="N17" i="7"/>
  <c r="C8" i="4"/>
  <c r="AA17" i="9" l="1"/>
  <c r="AB63" i="9"/>
  <c r="F18" i="7"/>
  <c r="P18" i="7"/>
  <c r="G19" i="7"/>
  <c r="F18" i="6"/>
  <c r="G19" i="6"/>
  <c r="H20" i="7"/>
  <c r="N18" i="7"/>
  <c r="D87" i="1"/>
  <c r="C87" i="1"/>
  <c r="C81" i="1"/>
  <c r="C82" i="1" s="1"/>
  <c r="C97" i="1" s="1"/>
  <c r="AA18" i="9" l="1"/>
  <c r="AB64" i="9"/>
  <c r="F19" i="7"/>
  <c r="P19" i="7"/>
  <c r="G20" i="7"/>
  <c r="C73" i="8"/>
  <c r="C4" i="4"/>
  <c r="F19" i="6"/>
  <c r="G20" i="6"/>
  <c r="H21" i="7"/>
  <c r="N19" i="7"/>
  <c r="C3" i="4"/>
  <c r="C92" i="1"/>
  <c r="D92" i="1"/>
  <c r="AA19" i="9" l="1"/>
  <c r="AB65" i="9"/>
  <c r="F20" i="7"/>
  <c r="P20" i="7"/>
  <c r="G21" i="7"/>
  <c r="D4" i="4"/>
  <c r="C110" i="8"/>
  <c r="D2" i="4" s="1"/>
  <c r="F20" i="6"/>
  <c r="G21" i="6"/>
  <c r="H22" i="7"/>
  <c r="N20" i="7"/>
  <c r="C93" i="1"/>
  <c r="C114" i="1" s="1"/>
  <c r="AA20" i="9" l="1"/>
  <c r="AB66" i="9"/>
  <c r="F21" i="7"/>
  <c r="P21" i="7"/>
  <c r="G22" i="7"/>
  <c r="F21" i="6"/>
  <c r="G22" i="6"/>
  <c r="C6" i="4"/>
  <c r="H23" i="7"/>
  <c r="N21" i="7"/>
  <c r="C101" i="1"/>
  <c r="C135" i="1" s="1"/>
  <c r="E1" i="6" s="1"/>
  <c r="C141" i="1"/>
  <c r="AA21" i="9" l="1"/>
  <c r="AB67" i="9"/>
  <c r="F22" i="7"/>
  <c r="P22" i="7"/>
  <c r="G23" i="7"/>
  <c r="F22" i="6"/>
  <c r="C112" i="8"/>
  <c r="C139" i="1"/>
  <c r="C2" i="4"/>
  <c r="G23" i="6"/>
  <c r="C5" i="4"/>
  <c r="H24" i="7"/>
  <c r="N22" i="7"/>
  <c r="C14" i="4"/>
  <c r="AA22" i="9" l="1"/>
  <c r="AB68" i="9"/>
  <c r="F23" i="7"/>
  <c r="P23" i="7"/>
  <c r="G24" i="7"/>
  <c r="F23" i="6"/>
  <c r="G24" i="6"/>
  <c r="H25" i="7"/>
  <c r="N23" i="7"/>
  <c r="C144" i="1"/>
  <c r="C17" i="4" s="1"/>
  <c r="AA23" i="9" l="1"/>
  <c r="AB69" i="9"/>
  <c r="F24" i="7"/>
  <c r="P24" i="7"/>
  <c r="G25" i="7"/>
  <c r="F24" i="6"/>
  <c r="K5" i="6"/>
  <c r="G25" i="6"/>
  <c r="H26" i="7"/>
  <c r="N24" i="7"/>
  <c r="C1" i="6"/>
  <c r="C6" i="6" s="1"/>
  <c r="O4" i="6"/>
  <c r="C3" i="6"/>
  <c r="B1" i="6"/>
  <c r="C2" i="6"/>
  <c r="B2" i="6"/>
  <c r="E4" i="6"/>
  <c r="C151" i="1"/>
  <c r="AA24" i="9" l="1"/>
  <c r="AB70" i="9"/>
  <c r="P25" i="7"/>
  <c r="F25" i="7"/>
  <c r="G26" i="7"/>
  <c r="F25" i="6"/>
  <c r="G26" i="6"/>
  <c r="I26" i="6" s="1"/>
  <c r="L23" i="6"/>
  <c r="N23" i="6" s="1"/>
  <c r="H27" i="7"/>
  <c r="N25" i="7"/>
  <c r="L16" i="6"/>
  <c r="N16" i="6" s="1"/>
  <c r="L15" i="6"/>
  <c r="N15" i="6" s="1"/>
  <c r="L14" i="6"/>
  <c r="N14" i="6" s="1"/>
  <c r="L11" i="6"/>
  <c r="N11" i="6" s="1"/>
  <c r="L7" i="6"/>
  <c r="L22" i="6"/>
  <c r="N22" i="6" s="1"/>
  <c r="B3" i="6"/>
  <c r="L9" i="6"/>
  <c r="N9" i="6" s="1"/>
  <c r="L8" i="6"/>
  <c r="N8" i="6" s="1"/>
  <c r="L21" i="6"/>
  <c r="N21" i="6" s="1"/>
  <c r="L5" i="6"/>
  <c r="L6" i="6" s="1"/>
  <c r="L20" i="6"/>
  <c r="N20" i="6" s="1"/>
  <c r="L19" i="6"/>
  <c r="N19" i="6" s="1"/>
  <c r="L10" i="6"/>
  <c r="N10" i="6" s="1"/>
  <c r="L24" i="6"/>
  <c r="N24" i="6" s="1"/>
  <c r="F8" i="10" l="1"/>
  <c r="AA25" i="9"/>
  <c r="AB71" i="9"/>
  <c r="P26" i="7"/>
  <c r="G27" i="7"/>
  <c r="F26" i="7"/>
  <c r="I7" i="6"/>
  <c r="I8" i="6"/>
  <c r="I9" i="6"/>
  <c r="I10" i="6"/>
  <c r="I11" i="6"/>
  <c r="I12" i="6"/>
  <c r="I13" i="6"/>
  <c r="I14" i="6"/>
  <c r="I15" i="6"/>
  <c r="I16" i="6"/>
  <c r="I17" i="6"/>
  <c r="I19" i="6"/>
  <c r="I20" i="6"/>
  <c r="I21" i="6"/>
  <c r="I22" i="6"/>
  <c r="I23" i="6"/>
  <c r="I24" i="6"/>
  <c r="I25" i="6"/>
  <c r="F26" i="6"/>
  <c r="N7" i="6"/>
  <c r="G27" i="6"/>
  <c r="I27" i="6" s="1"/>
  <c r="N5" i="6"/>
  <c r="N6" i="6" s="1"/>
  <c r="L12" i="6"/>
  <c r="L13" i="6"/>
  <c r="N13" i="6" s="1"/>
  <c r="N26" i="7"/>
  <c r="H28" i="7"/>
  <c r="L25" i="6"/>
  <c r="N25" i="6" s="1"/>
  <c r="R29" i="7" l="1"/>
  <c r="H29" i="7"/>
  <c r="G28" i="7"/>
  <c r="AA26" i="9"/>
  <c r="AB72" i="9"/>
  <c r="N12" i="6"/>
  <c r="P27" i="7"/>
  <c r="F27" i="7"/>
  <c r="F27" i="6"/>
  <c r="I5" i="6"/>
  <c r="G28" i="6"/>
  <c r="I28" i="6" s="1"/>
  <c r="L17" i="6"/>
  <c r="N17" i="6" s="1"/>
  <c r="C153" i="1"/>
  <c r="N27" i="7"/>
  <c r="L26" i="6"/>
  <c r="N26" i="6" s="1"/>
  <c r="AA27" i="9" l="1"/>
  <c r="AB73" i="9"/>
  <c r="L18" i="6"/>
  <c r="N18" i="6" s="1"/>
  <c r="I6" i="6"/>
  <c r="I18" i="6" s="1"/>
  <c r="P28" i="7"/>
  <c r="F28" i="7"/>
  <c r="G29" i="7"/>
  <c r="F28" i="6"/>
  <c r="G29" i="6"/>
  <c r="I29" i="6" s="1"/>
  <c r="C143" i="1"/>
  <c r="C171" i="1" s="1"/>
  <c r="C142" i="1"/>
  <c r="C15" i="4" s="1"/>
  <c r="C13" i="4"/>
  <c r="H30" i="7"/>
  <c r="N28" i="7"/>
  <c r="L27" i="6"/>
  <c r="N27" i="6" s="1"/>
  <c r="AA28" i="9" l="1"/>
  <c r="AB74" i="9"/>
  <c r="F29" i="7"/>
  <c r="P29" i="7"/>
  <c r="G30" i="7"/>
  <c r="F29" i="6"/>
  <c r="G30" i="6"/>
  <c r="I30" i="6" s="1"/>
  <c r="C152" i="1"/>
  <c r="C16" i="4"/>
  <c r="C150" i="1"/>
  <c r="N29" i="7"/>
  <c r="H31" i="7"/>
  <c r="L28" i="6"/>
  <c r="N28" i="6" s="1"/>
  <c r="AA29" i="9" l="1"/>
  <c r="AB75" i="9"/>
  <c r="F30" i="7"/>
  <c r="P30" i="7"/>
  <c r="G31" i="7"/>
  <c r="F30" i="6"/>
  <c r="G31" i="6"/>
  <c r="I31" i="6" s="1"/>
  <c r="C169" i="1"/>
  <c r="C170" i="1" s="1"/>
  <c r="C174" i="1" s="1"/>
  <c r="C12" i="4" s="1"/>
  <c r="N30" i="7"/>
  <c r="H32" i="7"/>
  <c r="L29" i="6"/>
  <c r="N29" i="6" s="1"/>
  <c r="AA30" i="9" l="1"/>
  <c r="AB76" i="9"/>
  <c r="F31" i="7"/>
  <c r="P31" i="7"/>
  <c r="G32" i="7"/>
  <c r="F31" i="6"/>
  <c r="G32" i="6"/>
  <c r="I32" i="6" s="1"/>
  <c r="N31" i="7"/>
  <c r="H33" i="7"/>
  <c r="L30" i="6"/>
  <c r="N30" i="6" s="1"/>
  <c r="AA31" i="9" l="1"/>
  <c r="AB77" i="9"/>
  <c r="F32" i="7"/>
  <c r="P32" i="7"/>
  <c r="G33" i="7"/>
  <c r="F32" i="6"/>
  <c r="G33" i="6"/>
  <c r="I33" i="6" s="1"/>
  <c r="N32" i="7"/>
  <c r="H34" i="7"/>
  <c r="L31" i="6"/>
  <c r="N31" i="6" s="1"/>
  <c r="AA32" i="9" l="1"/>
  <c r="AB78" i="9"/>
  <c r="F33" i="7"/>
  <c r="P33" i="7"/>
  <c r="G34" i="7"/>
  <c r="F33" i="6"/>
  <c r="G34" i="6"/>
  <c r="I34" i="6" s="1"/>
  <c r="H35" i="7"/>
  <c r="N33" i="7"/>
  <c r="L32" i="6"/>
  <c r="N32" i="6" s="1"/>
  <c r="AA33" i="9" l="1"/>
  <c r="AB79" i="9"/>
  <c r="F34" i="7"/>
  <c r="P34" i="7"/>
  <c r="G35" i="7"/>
  <c r="F34" i="6"/>
  <c r="G35" i="6"/>
  <c r="I35" i="6" s="1"/>
  <c r="H36" i="7"/>
  <c r="N34" i="7"/>
  <c r="AA34" i="9" l="1"/>
  <c r="AB80" i="9"/>
  <c r="F35" i="7"/>
  <c r="P35" i="7"/>
  <c r="G36" i="7"/>
  <c r="F35" i="6"/>
  <c r="G36" i="6"/>
  <c r="I36" i="6" s="1"/>
  <c r="H37" i="7"/>
  <c r="N35" i="7"/>
  <c r="L34" i="6"/>
  <c r="N34" i="6" s="1"/>
  <c r="AA35" i="9" l="1"/>
  <c r="AB81" i="9"/>
  <c r="F36" i="7"/>
  <c r="P36" i="7"/>
  <c r="G37" i="7"/>
  <c r="F36" i="6"/>
  <c r="G37" i="6"/>
  <c r="I37" i="6" s="1"/>
  <c r="H38" i="7"/>
  <c r="N36" i="7"/>
  <c r="L35" i="6"/>
  <c r="N35" i="6" s="1"/>
  <c r="AA36" i="9" l="1"/>
  <c r="AB82" i="9"/>
  <c r="P37" i="7"/>
  <c r="F37" i="7"/>
  <c r="G38" i="7"/>
  <c r="F37" i="6"/>
  <c r="G38" i="6"/>
  <c r="I38" i="6" s="1"/>
  <c r="H39" i="7"/>
  <c r="N37" i="7"/>
  <c r="L36" i="6"/>
  <c r="N36" i="6" s="1"/>
  <c r="AA37" i="9" l="1"/>
  <c r="AB83" i="9"/>
  <c r="P38" i="7"/>
  <c r="G39" i="7"/>
  <c r="F38" i="7"/>
  <c r="F38" i="6"/>
  <c r="G39" i="6"/>
  <c r="I39" i="6" s="1"/>
  <c r="H40" i="7"/>
  <c r="N38" i="7"/>
  <c r="L37" i="6"/>
  <c r="N37" i="6" s="1"/>
  <c r="AA38" i="9" l="1"/>
  <c r="AB84" i="9"/>
  <c r="P39" i="7"/>
  <c r="G40" i="7"/>
  <c r="F39" i="7"/>
  <c r="F39" i="6"/>
  <c r="G40" i="6"/>
  <c r="I40" i="6" s="1"/>
  <c r="H41" i="7"/>
  <c r="R41" i="7" s="1"/>
  <c r="N39" i="7"/>
  <c r="L38" i="6"/>
  <c r="N38" i="6" s="1"/>
  <c r="AA39" i="9" l="1"/>
  <c r="AB85" i="9"/>
  <c r="P40" i="7"/>
  <c r="F40" i="7"/>
  <c r="G41" i="7"/>
  <c r="F40" i="6"/>
  <c r="G41" i="6"/>
  <c r="I41" i="6" s="1"/>
  <c r="H42" i="7"/>
  <c r="N40" i="7"/>
  <c r="L39" i="6"/>
  <c r="N39" i="6" s="1"/>
  <c r="AA40" i="9" l="1"/>
  <c r="AB86" i="9"/>
  <c r="F41" i="7"/>
  <c r="P41" i="7"/>
  <c r="G42" i="7"/>
  <c r="F41" i="6"/>
  <c r="G42" i="6"/>
  <c r="I42" i="6" s="1"/>
  <c r="N41" i="7"/>
  <c r="H43" i="7"/>
  <c r="L40" i="6"/>
  <c r="N40" i="6" s="1"/>
  <c r="AA41" i="9" l="1"/>
  <c r="AB87" i="9"/>
  <c r="F42" i="7"/>
  <c r="P42" i="7"/>
  <c r="G43" i="7"/>
  <c r="F42" i="6"/>
  <c r="G43" i="6"/>
  <c r="I43" i="6" s="1"/>
  <c r="N42" i="7"/>
  <c r="H44" i="7"/>
  <c r="AA42" i="9" l="1"/>
  <c r="AB88" i="9"/>
  <c r="F43" i="7"/>
  <c r="P43" i="7"/>
  <c r="G44" i="7"/>
  <c r="F43" i="6"/>
  <c r="G44" i="6"/>
  <c r="I44" i="6" s="1"/>
  <c r="N43" i="7"/>
  <c r="H45" i="7"/>
  <c r="AA43" i="9" l="1"/>
  <c r="AB89" i="9"/>
  <c r="P44" i="7"/>
  <c r="G45" i="7"/>
  <c r="F44" i="7"/>
  <c r="F44" i="6"/>
  <c r="G45" i="6"/>
  <c r="I45" i="6" s="1"/>
  <c r="N44" i="7"/>
  <c r="H46" i="7"/>
  <c r="L43" i="6"/>
  <c r="N43" i="6" s="1"/>
  <c r="AA44" i="9" l="1"/>
  <c r="P45" i="7"/>
  <c r="G46" i="7"/>
  <c r="F45" i="7"/>
  <c r="F45" i="6"/>
  <c r="G46" i="6"/>
  <c r="I46" i="6" s="1"/>
  <c r="N45" i="7"/>
  <c r="H47" i="7"/>
  <c r="N44" i="6"/>
  <c r="L44" i="6"/>
  <c r="AA45" i="9" l="1"/>
  <c r="P46" i="7"/>
  <c r="G47" i="7"/>
  <c r="F46" i="7"/>
  <c r="F46" i="6"/>
  <c r="G47" i="6"/>
  <c r="I47" i="6" s="1"/>
  <c r="N46" i="7"/>
  <c r="H48" i="7"/>
  <c r="L45" i="6"/>
  <c r="N45" i="6" s="1"/>
  <c r="AA46" i="9" l="1"/>
  <c r="P47" i="7"/>
  <c r="G48" i="7"/>
  <c r="F47" i="7"/>
  <c r="F47" i="6"/>
  <c r="G48" i="6"/>
  <c r="I48" i="6" s="1"/>
  <c r="H49" i="7"/>
  <c r="N47" i="7"/>
  <c r="L46" i="6"/>
  <c r="N46" i="6" s="1"/>
  <c r="AA47" i="9" l="1"/>
  <c r="P48" i="7"/>
  <c r="F48" i="7"/>
  <c r="G49" i="7"/>
  <c r="F48" i="6"/>
  <c r="G49" i="6"/>
  <c r="I49" i="6" s="1"/>
  <c r="H50" i="7"/>
  <c r="N48" i="7"/>
  <c r="L47" i="6"/>
  <c r="N47" i="6" s="1"/>
  <c r="AA48" i="9" l="1"/>
  <c r="P49" i="7"/>
  <c r="F49" i="7"/>
  <c r="G50" i="7"/>
  <c r="F49" i="6"/>
  <c r="G50" i="6"/>
  <c r="I50" i="6" s="1"/>
  <c r="H51" i="7"/>
  <c r="N49" i="7"/>
  <c r="L48" i="6"/>
  <c r="N48" i="6" s="1"/>
  <c r="AA49" i="9" l="1"/>
  <c r="P50" i="7"/>
  <c r="F50" i="7"/>
  <c r="G51" i="7"/>
  <c r="F50" i="6"/>
  <c r="G51" i="6"/>
  <c r="I51" i="6" s="1"/>
  <c r="H52" i="7"/>
  <c r="N50" i="7"/>
  <c r="L49" i="6"/>
  <c r="N49" i="6" s="1"/>
  <c r="AA50" i="9" l="1"/>
  <c r="P51" i="7"/>
  <c r="G52" i="7"/>
  <c r="F51" i="7"/>
  <c r="F51" i="6"/>
  <c r="G52" i="6"/>
  <c r="I52" i="6" s="1"/>
  <c r="H53" i="7"/>
  <c r="N51" i="7"/>
  <c r="L50" i="6"/>
  <c r="N50" i="6" s="1"/>
  <c r="R53" i="7" l="1"/>
  <c r="AA51" i="9"/>
  <c r="P52" i="7"/>
  <c r="F52" i="7"/>
  <c r="G53" i="7"/>
  <c r="F52" i="6"/>
  <c r="G53" i="6"/>
  <c r="I53" i="6" s="1"/>
  <c r="H54" i="7"/>
  <c r="N52" i="7"/>
  <c r="L51" i="6"/>
  <c r="N51" i="6" s="1"/>
  <c r="AW2" i="11" l="1"/>
  <c r="R15" i="11"/>
  <c r="AA52" i="9"/>
  <c r="G54" i="7"/>
  <c r="F53" i="7"/>
  <c r="P53" i="7"/>
  <c r="F53" i="6"/>
  <c r="G54" i="6"/>
  <c r="I54" i="6" s="1"/>
  <c r="H55" i="7"/>
  <c r="N53" i="7"/>
  <c r="L52" i="6"/>
  <c r="N52" i="6" s="1"/>
  <c r="AA53" i="9" l="1"/>
  <c r="F54" i="7"/>
  <c r="P54" i="7"/>
  <c r="G55" i="7"/>
  <c r="F54" i="6"/>
  <c r="G55" i="6"/>
  <c r="I55" i="6" s="1"/>
  <c r="N54" i="7"/>
  <c r="H56" i="7"/>
  <c r="AA54" i="9" l="1"/>
  <c r="G56" i="7"/>
  <c r="P55" i="7"/>
  <c r="F55" i="7"/>
  <c r="F55" i="6"/>
  <c r="G56" i="6"/>
  <c r="I56" i="6" s="1"/>
  <c r="H57" i="7"/>
  <c r="N55" i="7"/>
  <c r="AA55" i="9" l="1"/>
  <c r="G57" i="7"/>
  <c r="P56" i="7"/>
  <c r="F56" i="7"/>
  <c r="F56" i="6"/>
  <c r="G57" i="6"/>
  <c r="I57" i="6" s="1"/>
  <c r="N56" i="7"/>
  <c r="H58" i="7"/>
  <c r="L55" i="6"/>
  <c r="N55" i="6"/>
  <c r="AA56" i="9" l="1"/>
  <c r="P57" i="7"/>
  <c r="F57" i="7"/>
  <c r="G58" i="7"/>
  <c r="F57" i="6"/>
  <c r="G58" i="6"/>
  <c r="I58" i="6" s="1"/>
  <c r="N57" i="7"/>
  <c r="H59" i="7"/>
  <c r="L56" i="6"/>
  <c r="N56" i="6" s="1"/>
  <c r="AA57" i="9" l="1"/>
  <c r="P58" i="7"/>
  <c r="F58" i="7"/>
  <c r="G59" i="7"/>
  <c r="F58" i="6"/>
  <c r="G59" i="6"/>
  <c r="I59" i="6" s="1"/>
  <c r="N58" i="7"/>
  <c r="H60" i="7"/>
  <c r="L57" i="6"/>
  <c r="N57" i="6" s="1"/>
  <c r="AA58" i="9" l="1"/>
  <c r="P59" i="7"/>
  <c r="F59" i="7"/>
  <c r="G60" i="7"/>
  <c r="F59" i="6"/>
  <c r="G60" i="6"/>
  <c r="I60" i="6" s="1"/>
  <c r="H61" i="7"/>
  <c r="N59" i="7"/>
  <c r="L58" i="6"/>
  <c r="N58" i="6" s="1"/>
  <c r="AA59" i="9" l="1"/>
  <c r="P60" i="7"/>
  <c r="G61" i="7"/>
  <c r="F60" i="7"/>
  <c r="F60" i="6"/>
  <c r="G61" i="6"/>
  <c r="I61" i="6" s="1"/>
  <c r="N60" i="7"/>
  <c r="H62" i="7"/>
  <c r="L59" i="6"/>
  <c r="N59" i="6" s="1"/>
  <c r="AA60" i="9" l="1"/>
  <c r="P61" i="7"/>
  <c r="G62" i="7"/>
  <c r="F61" i="7"/>
  <c r="F61" i="6"/>
  <c r="G62" i="6"/>
  <c r="I62" i="6" s="1"/>
  <c r="H63" i="7"/>
  <c r="N61" i="7"/>
  <c r="N60" i="6"/>
  <c r="L60" i="6"/>
  <c r="AA61" i="9" l="1"/>
  <c r="G63" i="7"/>
  <c r="P62" i="7"/>
  <c r="F62" i="7"/>
  <c r="F62" i="6"/>
  <c r="G63" i="6"/>
  <c r="I63" i="6" s="1"/>
  <c r="N62" i="7"/>
  <c r="H64" i="7"/>
  <c r="L61" i="6"/>
  <c r="N61" i="6" s="1"/>
  <c r="AA62" i="9" l="1"/>
  <c r="G64" i="7"/>
  <c r="P63" i="7"/>
  <c r="F63" i="7"/>
  <c r="F63" i="6"/>
  <c r="G64" i="6"/>
  <c r="I64" i="6" s="1"/>
  <c r="N63" i="7"/>
  <c r="H65" i="7"/>
  <c r="R65" i="7" s="1"/>
  <c r="L62" i="6"/>
  <c r="N62" i="6" s="1"/>
  <c r="AA63" i="9" l="1"/>
  <c r="P64" i="7"/>
  <c r="F64" i="7"/>
  <c r="G65" i="7"/>
  <c r="F64" i="6"/>
  <c r="G65" i="6"/>
  <c r="I65" i="6" s="1"/>
  <c r="N64" i="7"/>
  <c r="H66" i="7"/>
  <c r="L63" i="6"/>
  <c r="N63" i="6" s="1"/>
  <c r="AA64" i="9" l="1"/>
  <c r="P65" i="7"/>
  <c r="F65" i="7"/>
  <c r="G66" i="7"/>
  <c r="F65" i="6"/>
  <c r="G66" i="6"/>
  <c r="I66" i="6" s="1"/>
  <c r="N65" i="7"/>
  <c r="H67" i="7"/>
  <c r="L64" i="6"/>
  <c r="N64" i="6" s="1"/>
  <c r="AA65" i="9" l="1"/>
  <c r="F66" i="7"/>
  <c r="P66" i="7"/>
  <c r="G67" i="7"/>
  <c r="F66" i="6"/>
  <c r="G67" i="6"/>
  <c r="I67" i="6" s="1"/>
  <c r="N66" i="7"/>
  <c r="H68" i="7"/>
  <c r="AA66" i="9" l="1"/>
  <c r="P67" i="7"/>
  <c r="F67" i="7"/>
  <c r="G68" i="7"/>
  <c r="F67" i="6"/>
  <c r="G68" i="6"/>
  <c r="I68" i="6" s="1"/>
  <c r="H69" i="7"/>
  <c r="N67" i="7"/>
  <c r="AA67" i="9" l="1"/>
  <c r="G69" i="7"/>
  <c r="P68" i="7"/>
  <c r="F68" i="7"/>
  <c r="F68" i="6"/>
  <c r="G69" i="6"/>
  <c r="I69" i="6" s="1"/>
  <c r="H70" i="7"/>
  <c r="N68" i="7"/>
  <c r="L67" i="6"/>
  <c r="N67" i="6" s="1"/>
  <c r="AA68" i="9" l="1"/>
  <c r="G70" i="7"/>
  <c r="P69" i="7"/>
  <c r="F69" i="7"/>
  <c r="F69" i="6"/>
  <c r="G70" i="6"/>
  <c r="I70" i="6" s="1"/>
  <c r="N69" i="7"/>
  <c r="H71" i="7"/>
  <c r="N68" i="6"/>
  <c r="L68" i="6"/>
  <c r="AA69" i="9" l="1"/>
  <c r="F70" i="7"/>
  <c r="P70" i="7"/>
  <c r="G71" i="7"/>
  <c r="F70" i="6"/>
  <c r="G71" i="6"/>
  <c r="I71" i="6" s="1"/>
  <c r="N70" i="7"/>
  <c r="H72" i="7"/>
  <c r="L69" i="6"/>
  <c r="N69" i="6" s="1"/>
  <c r="AA70" i="9" l="1"/>
  <c r="P71" i="7"/>
  <c r="F71" i="7"/>
  <c r="G72" i="7"/>
  <c r="F71" i="6"/>
  <c r="G72" i="6"/>
  <c r="I72" i="6" s="1"/>
  <c r="H73" i="7"/>
  <c r="N71" i="7"/>
  <c r="L70" i="6"/>
  <c r="N70" i="6" s="1"/>
  <c r="AA71" i="9" l="1"/>
  <c r="F72" i="7"/>
  <c r="P72" i="7"/>
  <c r="G73" i="7"/>
  <c r="F72" i="6"/>
  <c r="G73" i="6"/>
  <c r="I73" i="6" s="1"/>
  <c r="H74" i="7"/>
  <c r="N72" i="7"/>
  <c r="L71" i="6"/>
  <c r="N71" i="6" s="1"/>
  <c r="AA72" i="9" l="1"/>
  <c r="G74" i="7"/>
  <c r="F73" i="7"/>
  <c r="P73" i="7"/>
  <c r="F73" i="6"/>
  <c r="G74" i="6"/>
  <c r="I74" i="6" s="1"/>
  <c r="N73" i="7"/>
  <c r="H75" i="7"/>
  <c r="L72" i="6"/>
  <c r="N72" i="6" s="1"/>
  <c r="AA73" i="9" l="1"/>
  <c r="F74" i="7"/>
  <c r="P74" i="7"/>
  <c r="G75" i="7"/>
  <c r="F74" i="6"/>
  <c r="G75" i="6"/>
  <c r="I75" i="6" s="1"/>
  <c r="N74" i="7"/>
  <c r="H76" i="7"/>
  <c r="L73" i="6"/>
  <c r="N73" i="6" s="1"/>
  <c r="AA74" i="9" l="1"/>
  <c r="F75" i="7"/>
  <c r="P75" i="7"/>
  <c r="G76" i="7"/>
  <c r="F75" i="6"/>
  <c r="G76" i="6"/>
  <c r="I76" i="6" s="1"/>
  <c r="H77" i="7"/>
  <c r="R77" i="7" s="1"/>
  <c r="R3" i="7" s="1"/>
  <c r="N75" i="7"/>
  <c r="L74" i="6"/>
  <c r="N74" i="6" s="1"/>
  <c r="AA75" i="9" l="1"/>
  <c r="P76" i="7"/>
  <c r="F76" i="7"/>
  <c r="G77" i="7"/>
  <c r="F76" i="6"/>
  <c r="G77" i="6"/>
  <c r="I77" i="6" s="1"/>
  <c r="H78" i="7"/>
  <c r="N76" i="7"/>
  <c r="L75" i="6"/>
  <c r="N75" i="6" s="1"/>
  <c r="AA76" i="9" l="1"/>
  <c r="G78" i="7"/>
  <c r="F77" i="7"/>
  <c r="P77" i="7"/>
  <c r="F77" i="6"/>
  <c r="G78" i="6"/>
  <c r="I78" i="6" s="1"/>
  <c r="H79" i="7"/>
  <c r="N77" i="7"/>
  <c r="AA77" i="9" l="1"/>
  <c r="G79" i="7"/>
  <c r="F78" i="7"/>
  <c r="P78" i="7"/>
  <c r="F78" i="6"/>
  <c r="G79" i="6"/>
  <c r="I79" i="6" s="1"/>
  <c r="H80" i="7"/>
  <c r="N78" i="7"/>
  <c r="AA78" i="9" l="1"/>
  <c r="P79" i="7"/>
  <c r="F79" i="7"/>
  <c r="G80" i="7"/>
  <c r="F79" i="6"/>
  <c r="G80" i="6"/>
  <c r="I80" i="6" s="1"/>
  <c r="H81" i="7"/>
  <c r="N79" i="7"/>
  <c r="L78" i="6"/>
  <c r="N78" i="6" s="1"/>
  <c r="AA79" i="9" l="1"/>
  <c r="G81" i="7"/>
  <c r="F80" i="7"/>
  <c r="P80" i="7"/>
  <c r="F80" i="6"/>
  <c r="G81" i="6"/>
  <c r="I81" i="6" s="1"/>
  <c r="H82" i="7"/>
  <c r="N80" i="7"/>
  <c r="L79" i="6"/>
  <c r="N79" i="6" s="1"/>
  <c r="AA80" i="9" l="1"/>
  <c r="G82" i="7"/>
  <c r="F81" i="7"/>
  <c r="P81" i="7"/>
  <c r="F81" i="6"/>
  <c r="G82" i="6"/>
  <c r="I82" i="6" s="1"/>
  <c r="H83" i="7"/>
  <c r="N81" i="7"/>
  <c r="L80" i="6"/>
  <c r="N80" i="6" s="1"/>
  <c r="AA81" i="9" l="1"/>
  <c r="F82" i="7"/>
  <c r="G83" i="7"/>
  <c r="P82" i="7"/>
  <c r="F82" i="6"/>
  <c r="G83" i="6"/>
  <c r="I83" i="6" s="1"/>
  <c r="N82" i="7"/>
  <c r="H84" i="7"/>
  <c r="L81" i="6"/>
  <c r="N81" i="6" s="1"/>
  <c r="AA82" i="9" l="1"/>
  <c r="P83" i="7"/>
  <c r="F83" i="7"/>
  <c r="G84" i="7"/>
  <c r="F83" i="6"/>
  <c r="G84" i="6"/>
  <c r="I84" i="6" s="1"/>
  <c r="H85" i="7"/>
  <c r="N83" i="7"/>
  <c r="L82" i="6"/>
  <c r="N82" i="6" s="1"/>
  <c r="AA83" i="9" l="1"/>
  <c r="G85" i="7"/>
  <c r="P84" i="7"/>
  <c r="F84" i="7"/>
  <c r="F84" i="6"/>
  <c r="G85" i="6"/>
  <c r="I85" i="6" s="1"/>
  <c r="N84" i="7"/>
  <c r="H86" i="7"/>
  <c r="L83" i="6"/>
  <c r="N83" i="6" s="1"/>
  <c r="AA84" i="9" l="1"/>
  <c r="G86" i="7"/>
  <c r="F85" i="7"/>
  <c r="P85" i="7"/>
  <c r="F85" i="6"/>
  <c r="G86" i="6"/>
  <c r="I86" i="6" s="1"/>
  <c r="H87" i="7"/>
  <c r="N85" i="7"/>
  <c r="N84" i="6"/>
  <c r="L84" i="6"/>
  <c r="AA85" i="9" l="1"/>
  <c r="G87" i="7"/>
  <c r="P86" i="7"/>
  <c r="F86" i="7"/>
  <c r="F86" i="6"/>
  <c r="G87" i="6"/>
  <c r="I87" i="6" s="1"/>
  <c r="N86" i="7"/>
  <c r="H88" i="7"/>
  <c r="L85" i="6"/>
  <c r="N85" i="6" s="1"/>
  <c r="AA86" i="9" l="1"/>
  <c r="F87" i="7"/>
  <c r="P87" i="7"/>
  <c r="G88" i="7"/>
  <c r="F87" i="6"/>
  <c r="G88" i="6"/>
  <c r="I88" i="6" s="1"/>
  <c r="N87" i="7"/>
  <c r="H89" i="7"/>
  <c r="L86" i="6"/>
  <c r="N86" i="6" s="1"/>
  <c r="AA87" i="9" l="1"/>
  <c r="F88" i="7"/>
  <c r="P88" i="7"/>
  <c r="G89" i="7"/>
  <c r="F88" i="6"/>
  <c r="G89" i="6"/>
  <c r="H90" i="7"/>
  <c r="N88" i="7"/>
  <c r="L87" i="6"/>
  <c r="N87" i="6" s="1"/>
  <c r="AA88" i="9" l="1"/>
  <c r="P89" i="7"/>
  <c r="F89" i="7"/>
  <c r="G90" i="7"/>
  <c r="F89" i="6"/>
  <c r="G90" i="6"/>
  <c r="I90" i="6" s="1"/>
  <c r="N89" i="7"/>
  <c r="H91" i="7"/>
  <c r="L88" i="6"/>
  <c r="N88" i="6" s="1"/>
  <c r="AA89" i="9" l="1"/>
  <c r="F90" i="7"/>
  <c r="P90" i="7"/>
  <c r="G91" i="7"/>
  <c r="F90" i="6"/>
  <c r="G91" i="6"/>
  <c r="I91" i="6" s="1"/>
  <c r="N90" i="7"/>
  <c r="H92" i="7"/>
  <c r="G92" i="7" l="1"/>
  <c r="P91" i="7"/>
  <c r="F91" i="7"/>
  <c r="F91" i="6"/>
  <c r="G92" i="6"/>
  <c r="I92" i="6" s="1"/>
  <c r="N91" i="7"/>
  <c r="H93" i="7"/>
  <c r="F92" i="7" l="1"/>
  <c r="P92" i="7"/>
  <c r="G93" i="7"/>
  <c r="F92" i="6"/>
  <c r="G93" i="6"/>
  <c r="I93" i="6" s="1"/>
  <c r="N92" i="7"/>
  <c r="H94" i="7"/>
  <c r="F93" i="7" l="1"/>
  <c r="P93" i="7"/>
  <c r="G94" i="7"/>
  <c r="F93" i="6"/>
  <c r="G94" i="6"/>
  <c r="I94" i="6" s="1"/>
  <c r="N93" i="7"/>
  <c r="H95" i="7"/>
  <c r="N92" i="6"/>
  <c r="L92" i="6"/>
  <c r="F94" i="7" l="1"/>
  <c r="G95" i="7"/>
  <c r="P94" i="7"/>
  <c r="F94" i="6"/>
  <c r="G95" i="6"/>
  <c r="I95" i="6" s="1"/>
  <c r="H96" i="7"/>
  <c r="N94" i="7"/>
  <c r="L93" i="6"/>
  <c r="N93" i="6" s="1"/>
  <c r="F95" i="7" l="1"/>
  <c r="P95" i="7"/>
  <c r="G96" i="7"/>
  <c r="F95" i="6"/>
  <c r="G96" i="6"/>
  <c r="I96" i="6" s="1"/>
  <c r="N95" i="7"/>
  <c r="H97" i="7"/>
  <c r="L94" i="6"/>
  <c r="N94" i="6" s="1"/>
  <c r="G97" i="7" l="1"/>
  <c r="F96" i="7"/>
  <c r="P96" i="7"/>
  <c r="F96" i="6"/>
  <c r="G97" i="6"/>
  <c r="I97" i="6" s="1"/>
  <c r="N96" i="7"/>
  <c r="H98" i="7"/>
  <c r="L95" i="6"/>
  <c r="N95" i="6" s="1"/>
  <c r="F97" i="7" l="1"/>
  <c r="P97" i="7"/>
  <c r="G98" i="7"/>
  <c r="F97" i="6"/>
  <c r="G98" i="6"/>
  <c r="I98" i="6" s="1"/>
  <c r="N97" i="7"/>
  <c r="H99" i="7"/>
  <c r="L96" i="6"/>
  <c r="N96" i="6" s="1"/>
  <c r="G99" i="7" l="1"/>
  <c r="F98" i="7"/>
  <c r="P98" i="7"/>
  <c r="F98" i="6"/>
  <c r="G99" i="6"/>
  <c r="I99" i="6" s="1"/>
  <c r="H100" i="7"/>
  <c r="N98" i="7"/>
  <c r="L97" i="6"/>
  <c r="N97" i="6" s="1"/>
  <c r="P99" i="7" l="1"/>
  <c r="F99" i="7"/>
  <c r="G100" i="7"/>
  <c r="F99" i="6"/>
  <c r="G100" i="6"/>
  <c r="I100" i="6" s="1"/>
  <c r="N99" i="7"/>
  <c r="H101" i="7"/>
  <c r="L98" i="6"/>
  <c r="N98" i="6" s="1"/>
  <c r="P100" i="7" l="1"/>
  <c r="F100" i="7"/>
  <c r="G101" i="7"/>
  <c r="F100" i="6"/>
  <c r="G101" i="6"/>
  <c r="I101" i="6" s="1"/>
  <c r="N100" i="7"/>
  <c r="H102" i="7"/>
  <c r="L99" i="6"/>
  <c r="N99" i="6" s="1"/>
  <c r="G102" i="7" l="1"/>
  <c r="F101" i="7"/>
  <c r="P101" i="7"/>
  <c r="F101" i="6"/>
  <c r="G102" i="6"/>
  <c r="I102" i="6" s="1"/>
  <c r="H103" i="7"/>
  <c r="N101" i="7"/>
  <c r="L100" i="6"/>
  <c r="N100" i="6" s="1"/>
  <c r="G103" i="7" l="1"/>
  <c r="F102" i="7"/>
  <c r="P102" i="7"/>
  <c r="F102" i="6"/>
  <c r="G103" i="6"/>
  <c r="I103" i="6" s="1"/>
  <c r="N102" i="7"/>
  <c r="H104" i="7"/>
  <c r="L101" i="6"/>
  <c r="N101" i="6" s="1"/>
  <c r="F103" i="7" l="1"/>
  <c r="P103" i="7"/>
  <c r="G104" i="7"/>
  <c r="F103" i="6"/>
  <c r="G104" i="6"/>
  <c r="I104" i="6" s="1"/>
  <c r="N103" i="7"/>
  <c r="H105" i="7"/>
  <c r="L102" i="6"/>
  <c r="N102" i="6" s="1"/>
  <c r="F104" i="7" l="1"/>
  <c r="P104" i="7"/>
  <c r="G105" i="7"/>
  <c r="F104" i="6"/>
  <c r="G105" i="6"/>
  <c r="I105" i="6" s="1"/>
  <c r="H106" i="7"/>
  <c r="N104" i="7"/>
  <c r="N103" i="6"/>
  <c r="L103" i="6"/>
  <c r="G106" i="7" l="1"/>
  <c r="F105" i="7"/>
  <c r="P105" i="7"/>
  <c r="F105" i="6"/>
  <c r="G106" i="6"/>
  <c r="I106" i="6" s="1"/>
  <c r="H107" i="7"/>
  <c r="N105" i="7"/>
  <c r="L104" i="6"/>
  <c r="N104" i="6" s="1"/>
  <c r="G107" i="7" l="1"/>
  <c r="F106" i="7"/>
  <c r="P106" i="7"/>
  <c r="F106" i="6"/>
  <c r="G107" i="6"/>
  <c r="I107" i="6" s="1"/>
  <c r="N106" i="7"/>
  <c r="H108" i="7"/>
  <c r="L105" i="6"/>
  <c r="N105" i="6" s="1"/>
  <c r="P107" i="7" l="1"/>
  <c r="F107" i="7"/>
  <c r="G108" i="7"/>
  <c r="F107" i="6"/>
  <c r="G108" i="6"/>
  <c r="I108" i="6" s="1"/>
  <c r="N107" i="7"/>
  <c r="H109" i="7"/>
  <c r="N106" i="6"/>
  <c r="L106" i="6"/>
  <c r="F108" i="7" l="1"/>
  <c r="P108" i="7"/>
  <c r="G109" i="7"/>
  <c r="F108" i="6"/>
  <c r="G109" i="6"/>
  <c r="I109" i="6" s="1"/>
  <c r="H110" i="7"/>
  <c r="N108" i="7"/>
  <c r="L107" i="6"/>
  <c r="N107" i="6" s="1"/>
  <c r="G110" i="7" l="1"/>
  <c r="F109" i="7"/>
  <c r="P109" i="7"/>
  <c r="F109" i="6"/>
  <c r="G110" i="6"/>
  <c r="I110" i="6" s="1"/>
  <c r="N109" i="7"/>
  <c r="H111" i="7"/>
  <c r="L108" i="6"/>
  <c r="N108" i="6" s="1"/>
  <c r="F110" i="7" l="1"/>
  <c r="P110" i="7"/>
  <c r="G111" i="7"/>
  <c r="F110" i="6"/>
  <c r="G111" i="6"/>
  <c r="I111" i="6" s="1"/>
  <c r="H112" i="7"/>
  <c r="N110" i="7"/>
  <c r="L109" i="6"/>
  <c r="N109" i="6" s="1"/>
  <c r="P111" i="7" l="1"/>
  <c r="F111" i="7"/>
  <c r="G112" i="7"/>
  <c r="F111" i="6"/>
  <c r="G112" i="6"/>
  <c r="I112" i="6" s="1"/>
  <c r="N111" i="7"/>
  <c r="H113" i="7"/>
  <c r="L110" i="6"/>
  <c r="N110" i="6" s="1"/>
  <c r="F112" i="7" l="1"/>
  <c r="G113" i="7"/>
  <c r="P112" i="7"/>
  <c r="F112" i="6"/>
  <c r="G113" i="6"/>
  <c r="I113" i="6" s="1"/>
  <c r="H114" i="7"/>
  <c r="N112" i="7"/>
  <c r="L111" i="6"/>
  <c r="N111" i="6" s="1"/>
  <c r="F113" i="7" l="1"/>
  <c r="P113" i="7"/>
  <c r="G114" i="7"/>
  <c r="F113" i="6"/>
  <c r="G114" i="6"/>
  <c r="I114" i="6" s="1"/>
  <c r="N113" i="7"/>
  <c r="H115" i="7"/>
  <c r="L112" i="6"/>
  <c r="N112" i="6" s="1"/>
  <c r="F114" i="7" l="1"/>
  <c r="P114" i="7"/>
  <c r="G115" i="7"/>
  <c r="F114" i="6"/>
  <c r="G115" i="6"/>
  <c r="I115" i="6" s="1"/>
  <c r="N114" i="7"/>
  <c r="H116" i="7"/>
  <c r="L113" i="6"/>
  <c r="N113" i="6" s="1"/>
  <c r="F115" i="7" l="1"/>
  <c r="P115" i="7"/>
  <c r="G116" i="7"/>
  <c r="F115" i="6"/>
  <c r="G116" i="6"/>
  <c r="I116" i="6" s="1"/>
  <c r="H117" i="7"/>
  <c r="N115" i="7"/>
  <c r="L114" i="6"/>
  <c r="N114" i="6" s="1"/>
  <c r="F116" i="7" l="1"/>
  <c r="P116" i="7"/>
  <c r="G117" i="7"/>
  <c r="F116" i="6"/>
  <c r="G117" i="6"/>
  <c r="I117" i="6" s="1"/>
  <c r="H118" i="7"/>
  <c r="N116" i="7"/>
  <c r="L115" i="6"/>
  <c r="N115" i="6"/>
  <c r="F117" i="7" l="1"/>
  <c r="P117" i="7"/>
  <c r="G118" i="7"/>
  <c r="F117" i="6"/>
  <c r="G118" i="6"/>
  <c r="I118" i="6" s="1"/>
  <c r="N117" i="7"/>
  <c r="H119" i="7"/>
  <c r="L116" i="6"/>
  <c r="N116" i="6" s="1"/>
  <c r="F118" i="7" l="1"/>
  <c r="P118" i="7"/>
  <c r="G119" i="7"/>
  <c r="F118" i="6"/>
  <c r="G119" i="6"/>
  <c r="I119" i="6" s="1"/>
  <c r="H120" i="7"/>
  <c r="N118" i="7"/>
  <c r="L117" i="6"/>
  <c r="N117" i="6" s="1"/>
  <c r="P119" i="7" l="1"/>
  <c r="G120" i="7"/>
  <c r="F119" i="7"/>
  <c r="F119" i="6"/>
  <c r="G120" i="6"/>
  <c r="I120" i="6" s="1"/>
  <c r="N119" i="7"/>
  <c r="H121" i="7"/>
  <c r="L118" i="6"/>
  <c r="N118" i="6" s="1"/>
  <c r="F120" i="7" l="1"/>
  <c r="P120" i="7"/>
  <c r="G121" i="7"/>
  <c r="F120" i="6"/>
  <c r="G121" i="6"/>
  <c r="I121" i="6" s="1"/>
  <c r="H122" i="7"/>
  <c r="N120" i="7"/>
  <c r="L119" i="6"/>
  <c r="N119" i="6" s="1"/>
  <c r="F121" i="7" l="1"/>
  <c r="P121" i="7"/>
  <c r="G122" i="7"/>
  <c r="F121" i="6"/>
  <c r="G122" i="6"/>
  <c r="I122" i="6" s="1"/>
  <c r="N121" i="7"/>
  <c r="H123" i="7"/>
  <c r="N120" i="6"/>
  <c r="L120" i="6"/>
  <c r="F122" i="7" l="1"/>
  <c r="P122" i="7"/>
  <c r="G123" i="7"/>
  <c r="F122" i="6"/>
  <c r="G123" i="6"/>
  <c r="I123" i="6" s="1"/>
  <c r="N122" i="7"/>
  <c r="H124" i="7"/>
  <c r="L121" i="6"/>
  <c r="N121" i="6" s="1"/>
  <c r="F123" i="7" l="1"/>
  <c r="P123" i="7"/>
  <c r="G124" i="7"/>
  <c r="F123" i="6"/>
  <c r="G124" i="6"/>
  <c r="I124" i="6" s="1"/>
  <c r="H125" i="7"/>
  <c r="N123" i="7"/>
  <c r="L122" i="6"/>
  <c r="N122" i="6" s="1"/>
  <c r="G125" i="7" l="1"/>
  <c r="F124" i="7"/>
  <c r="P124" i="7"/>
  <c r="F124" i="6"/>
  <c r="G125" i="6"/>
  <c r="I125" i="6" s="1"/>
  <c r="H126" i="7"/>
  <c r="N124" i="7"/>
  <c r="L123" i="6"/>
  <c r="N123" i="6" s="1"/>
  <c r="G126" i="7" l="1"/>
  <c r="P125" i="7"/>
  <c r="F125" i="7"/>
  <c r="F125" i="6"/>
  <c r="G126" i="6"/>
  <c r="I126" i="6" s="1"/>
  <c r="N125" i="7"/>
  <c r="H127" i="7"/>
  <c r="N124" i="6"/>
  <c r="L124" i="6"/>
  <c r="G127" i="7" l="1"/>
  <c r="F126" i="7"/>
  <c r="P126" i="7"/>
  <c r="F126" i="6"/>
  <c r="G127" i="6"/>
  <c r="I127" i="6" s="1"/>
  <c r="H128" i="7"/>
  <c r="N126" i="7"/>
  <c r="F127" i="7" l="1"/>
  <c r="P127" i="7"/>
  <c r="G128" i="7"/>
  <c r="F127" i="6"/>
  <c r="G128" i="6"/>
  <c r="I128" i="6" s="1"/>
  <c r="N127" i="7"/>
  <c r="H129" i="7"/>
  <c r="G129" i="7" l="1"/>
  <c r="F128" i="7"/>
  <c r="P128" i="7"/>
  <c r="F128" i="6"/>
  <c r="G129" i="6"/>
  <c r="I129" i="6" s="1"/>
  <c r="H130" i="7"/>
  <c r="N128" i="7"/>
  <c r="L127" i="6"/>
  <c r="N127" i="6" s="1"/>
  <c r="G130" i="7" l="1"/>
  <c r="F129" i="7"/>
  <c r="P129" i="7"/>
  <c r="F129" i="6"/>
  <c r="G130" i="6"/>
  <c r="I130" i="6" s="1"/>
  <c r="H131" i="7"/>
  <c r="N129" i="7"/>
  <c r="L128" i="6"/>
  <c r="N128" i="6" s="1"/>
  <c r="G131" i="7" l="1"/>
  <c r="F130" i="7"/>
  <c r="P130" i="7"/>
  <c r="F130" i="6"/>
  <c r="G131" i="6"/>
  <c r="I131" i="6" s="1"/>
  <c r="N130" i="7"/>
  <c r="H132" i="7"/>
  <c r="L129" i="6"/>
  <c r="N129" i="6" s="1"/>
  <c r="G132" i="7" l="1"/>
  <c r="F131" i="7"/>
  <c r="P131" i="7"/>
  <c r="F131" i="6"/>
  <c r="G132" i="6"/>
  <c r="I132" i="6" s="1"/>
  <c r="H133" i="7"/>
  <c r="N131" i="7"/>
  <c r="L130" i="6"/>
  <c r="N130" i="6" s="1"/>
  <c r="G133" i="7" l="1"/>
  <c r="F132" i="7"/>
  <c r="P132" i="7"/>
  <c r="F132" i="6"/>
  <c r="G133" i="6"/>
  <c r="I133" i="6" s="1"/>
  <c r="H134" i="7"/>
  <c r="N132" i="7"/>
  <c r="L131" i="6"/>
  <c r="N131" i="6" s="1"/>
  <c r="G134" i="7" l="1"/>
  <c r="P133" i="7"/>
  <c r="F133" i="7"/>
  <c r="F133" i="6"/>
  <c r="G134" i="6"/>
  <c r="I134" i="6" s="1"/>
  <c r="H135" i="7"/>
  <c r="N133" i="7"/>
  <c r="L132" i="6"/>
  <c r="N132" i="6" s="1"/>
  <c r="P134" i="7" l="1"/>
  <c r="G135" i="7"/>
  <c r="F134" i="7"/>
  <c r="F134" i="6"/>
  <c r="G135" i="6"/>
  <c r="I135" i="6" s="1"/>
  <c r="N134" i="7"/>
  <c r="H136" i="7"/>
  <c r="L133" i="6"/>
  <c r="N133" i="6" s="1"/>
  <c r="P135" i="7" l="1"/>
  <c r="F135" i="7"/>
  <c r="G136" i="7"/>
  <c r="F135" i="6"/>
  <c r="G136" i="6"/>
  <c r="I136" i="6" s="1"/>
  <c r="H137" i="7"/>
  <c r="N135" i="7"/>
  <c r="L134" i="6"/>
  <c r="N134" i="6" s="1"/>
  <c r="G137" i="7" l="1"/>
  <c r="F136" i="7"/>
  <c r="P136" i="7"/>
  <c r="F136" i="6"/>
  <c r="G137" i="6"/>
  <c r="I137" i="6" s="1"/>
  <c r="H138" i="7"/>
  <c r="N136" i="7"/>
  <c r="L135" i="6"/>
  <c r="N135" i="6" s="1"/>
  <c r="F137" i="7" l="1"/>
  <c r="P137" i="7"/>
  <c r="G138" i="7"/>
  <c r="F137" i="6"/>
  <c r="G138" i="6"/>
  <c r="I138" i="6" s="1"/>
  <c r="H139" i="7"/>
  <c r="N137" i="7"/>
  <c r="N136" i="6"/>
  <c r="L136" i="6"/>
  <c r="G139" i="7" l="1"/>
  <c r="F138" i="7"/>
  <c r="P138" i="7"/>
  <c r="F138" i="6"/>
  <c r="G139" i="6"/>
  <c r="I139" i="6" s="1"/>
  <c r="H140" i="7"/>
  <c r="N138" i="7"/>
  <c r="L137" i="6"/>
  <c r="N137" i="6" s="1"/>
  <c r="G140" i="7" l="1"/>
  <c r="P139" i="7"/>
  <c r="F139" i="7"/>
  <c r="F139" i="6"/>
  <c r="G140" i="6"/>
  <c r="I140" i="6" s="1"/>
  <c r="H141" i="7"/>
  <c r="N139" i="7"/>
  <c r="L138" i="6"/>
  <c r="N138" i="6" s="1"/>
  <c r="F140" i="7" l="1"/>
  <c r="G141" i="7"/>
  <c r="P140" i="7"/>
  <c r="F140" i="6"/>
  <c r="G141" i="6"/>
  <c r="I141" i="6" s="1"/>
  <c r="H142" i="7"/>
  <c r="N140" i="7"/>
  <c r="N139" i="6"/>
  <c r="L139" i="6"/>
  <c r="F141" i="7" l="1"/>
  <c r="P141" i="7"/>
  <c r="G142" i="7"/>
  <c r="F141" i="6"/>
  <c r="G142" i="6"/>
  <c r="I142" i="6" s="1"/>
  <c r="N141" i="7"/>
  <c r="H143" i="7"/>
  <c r="L140" i="6"/>
  <c r="N140" i="6" s="1"/>
  <c r="F142" i="7" l="1"/>
  <c r="P142" i="7"/>
  <c r="G143" i="7"/>
  <c r="F142" i="6"/>
  <c r="G143" i="6"/>
  <c r="I143" i="6" s="1"/>
  <c r="N142" i="7"/>
  <c r="H144" i="7"/>
  <c r="L141" i="6"/>
  <c r="N141" i="6" s="1"/>
  <c r="G144" i="7" l="1"/>
  <c r="F143" i="7"/>
  <c r="P143" i="7"/>
  <c r="F143" i="6"/>
  <c r="G144" i="6"/>
  <c r="I144" i="6" s="1"/>
  <c r="H145" i="7"/>
  <c r="N143" i="7"/>
  <c r="L142" i="6"/>
  <c r="N142" i="6" s="1"/>
  <c r="G145" i="7" l="1"/>
  <c r="P144" i="7"/>
  <c r="F144" i="7"/>
  <c r="F144" i="6"/>
  <c r="G145" i="6"/>
  <c r="I145" i="6" s="1"/>
  <c r="H146" i="7"/>
  <c r="N144" i="7"/>
  <c r="L143" i="6"/>
  <c r="N143" i="6" s="1"/>
  <c r="G146" i="7" l="1"/>
  <c r="F145" i="7"/>
  <c r="P145" i="7"/>
  <c r="F145" i="6"/>
  <c r="G146" i="6"/>
  <c r="I146" i="6" s="1"/>
  <c r="H147" i="7"/>
  <c r="N145" i="7"/>
  <c r="N144" i="6"/>
  <c r="L144" i="6"/>
  <c r="P146" i="7" l="1"/>
  <c r="G147" i="7"/>
  <c r="F146" i="7"/>
  <c r="F146" i="6"/>
  <c r="G147" i="6"/>
  <c r="I147" i="6" s="1"/>
  <c r="N146" i="7"/>
  <c r="H148" i="7"/>
  <c r="L145" i="6"/>
  <c r="N145" i="6" s="1"/>
  <c r="F147" i="7" l="1"/>
  <c r="P147" i="7"/>
  <c r="G148" i="7"/>
  <c r="F147" i="6"/>
  <c r="G148" i="6"/>
  <c r="I148" i="6" s="1"/>
  <c r="N147" i="7"/>
  <c r="H149" i="7"/>
  <c r="L146" i="6"/>
  <c r="N146" i="6" s="1"/>
  <c r="F148" i="7" l="1"/>
  <c r="P148" i="7"/>
  <c r="G149" i="7"/>
  <c r="F148" i="6"/>
  <c r="G149" i="6"/>
  <c r="I149" i="6" s="1"/>
  <c r="H150" i="7"/>
  <c r="N148" i="7"/>
  <c r="L147" i="6"/>
  <c r="N147" i="6" s="1"/>
  <c r="G150" i="7" l="1"/>
  <c r="F149" i="7"/>
  <c r="P149" i="7"/>
  <c r="F149" i="6"/>
  <c r="G150" i="6"/>
  <c r="I150" i="6" s="1"/>
  <c r="H151" i="7"/>
  <c r="N149" i="7"/>
  <c r="L148" i="6"/>
  <c r="N148" i="6" s="1"/>
  <c r="G151" i="7" l="1"/>
  <c r="F150" i="7"/>
  <c r="P150" i="7"/>
  <c r="F150" i="6"/>
  <c r="G151" i="6"/>
  <c r="I151" i="6" s="1"/>
  <c r="H152" i="7"/>
  <c r="N150" i="7"/>
  <c r="L33" i="6"/>
  <c r="L149" i="6"/>
  <c r="N149" i="6" s="1"/>
  <c r="F151" i="7" l="1"/>
  <c r="P151" i="7"/>
  <c r="G152" i="7"/>
  <c r="F151" i="6"/>
  <c r="G152" i="6"/>
  <c r="I152" i="6" s="1"/>
  <c r="L41" i="6"/>
  <c r="L53" i="6" s="1"/>
  <c r="N151" i="7"/>
  <c r="H153" i="7"/>
  <c r="N33" i="6"/>
  <c r="N150" i="6"/>
  <c r="L150" i="6"/>
  <c r="F152" i="7" l="1"/>
  <c r="P152" i="7"/>
  <c r="G153" i="7"/>
  <c r="F152" i="6"/>
  <c r="G153" i="6"/>
  <c r="I153" i="6" s="1"/>
  <c r="L42" i="6"/>
  <c r="L54" i="6" s="1"/>
  <c r="L65" i="6"/>
  <c r="L89" i="6" s="1"/>
  <c r="N41" i="6"/>
  <c r="N65" i="6" s="1"/>
  <c r="N152" i="7"/>
  <c r="H154" i="7"/>
  <c r="L151" i="6"/>
  <c r="N151" i="6" s="1"/>
  <c r="G154" i="7" l="1"/>
  <c r="F153" i="7"/>
  <c r="P153" i="7"/>
  <c r="L66" i="6"/>
  <c r="F153" i="6"/>
  <c r="G154" i="6"/>
  <c r="I154" i="6" s="1"/>
  <c r="N42" i="6"/>
  <c r="N53" i="6"/>
  <c r="L76" i="6"/>
  <c r="N76" i="6" s="1"/>
  <c r="L91" i="6"/>
  <c r="L125" i="6" s="1"/>
  <c r="N89" i="6"/>
  <c r="N153" i="7"/>
  <c r="H155" i="7"/>
  <c r="L152" i="6"/>
  <c r="N152" i="6" s="1"/>
  <c r="P154" i="7" l="1"/>
  <c r="F154" i="7"/>
  <c r="G155" i="7"/>
  <c r="N54" i="6"/>
  <c r="N66" i="6" s="1"/>
  <c r="F154" i="6"/>
  <c r="G155" i="6"/>
  <c r="I155" i="6" s="1"/>
  <c r="L77" i="6"/>
  <c r="N91" i="6"/>
  <c r="N125" i="6" s="1"/>
  <c r="N154" i="7"/>
  <c r="H156" i="7"/>
  <c r="L153" i="6"/>
  <c r="N153" i="6" s="1"/>
  <c r="G156" i="7" l="1"/>
  <c r="F155" i="7"/>
  <c r="P155" i="7"/>
  <c r="F155" i="6"/>
  <c r="N77" i="6"/>
  <c r="N90" i="6" s="1"/>
  <c r="L90" i="6"/>
  <c r="L126" i="6" s="1"/>
  <c r="G156" i="6"/>
  <c r="I156" i="6" s="1"/>
  <c r="N155" i="7"/>
  <c r="H157" i="7"/>
  <c r="L154" i="6"/>
  <c r="N154" i="6" s="1"/>
  <c r="F156" i="7" l="1"/>
  <c r="G157" i="7"/>
  <c r="P156" i="7"/>
  <c r="F156" i="6"/>
  <c r="N126" i="6"/>
  <c r="G157" i="6"/>
  <c r="I157" i="6" s="1"/>
  <c r="H158" i="7"/>
  <c r="N156" i="7"/>
  <c r="L155" i="6"/>
  <c r="N155" i="6" s="1"/>
  <c r="F157" i="7" l="1"/>
  <c r="P157" i="7"/>
  <c r="G158" i="7"/>
  <c r="F157" i="6"/>
  <c r="G158" i="6"/>
  <c r="I158" i="6" s="1"/>
  <c r="N157" i="7"/>
  <c r="H159" i="7"/>
  <c r="L156" i="6"/>
  <c r="N156" i="6" s="1"/>
  <c r="F158" i="7" l="1"/>
  <c r="P158" i="7"/>
  <c r="G159" i="7"/>
  <c r="F158" i="6"/>
  <c r="G159" i="6"/>
  <c r="I159" i="6" s="1"/>
  <c r="H160" i="7"/>
  <c r="N158" i="7"/>
  <c r="L157" i="6"/>
  <c r="N157" i="6" s="1"/>
  <c r="G160" i="7" l="1"/>
  <c r="F159" i="7"/>
  <c r="P159" i="7"/>
  <c r="F159" i="6"/>
  <c r="G160" i="6"/>
  <c r="I160" i="6" s="1"/>
  <c r="N159" i="7"/>
  <c r="H161" i="7"/>
  <c r="L158" i="6"/>
  <c r="N158" i="6" s="1"/>
  <c r="F160" i="7" l="1"/>
  <c r="G161" i="7"/>
  <c r="P160" i="7"/>
  <c r="F160" i="6"/>
  <c r="G161" i="6"/>
  <c r="I161" i="6" s="1"/>
  <c r="H162" i="7"/>
  <c r="N160" i="7"/>
  <c r="L159" i="6"/>
  <c r="N159" i="6" s="1"/>
  <c r="F161" i="7" l="1"/>
  <c r="P161" i="7"/>
  <c r="G162" i="7"/>
  <c r="F161" i="6"/>
  <c r="G162" i="6"/>
  <c r="I162" i="6" s="1"/>
  <c r="N161" i="7"/>
  <c r="H163" i="7"/>
  <c r="L160" i="6"/>
  <c r="N160" i="6" s="1"/>
  <c r="P162" i="7" l="1"/>
  <c r="G163" i="7"/>
  <c r="F162" i="7"/>
  <c r="F162" i="6"/>
  <c r="G163" i="6"/>
  <c r="I163" i="6" s="1"/>
  <c r="H164" i="7"/>
  <c r="N162" i="7"/>
  <c r="N161" i="6"/>
  <c r="L161" i="6"/>
  <c r="F163" i="7" l="1"/>
  <c r="P163" i="7"/>
  <c r="G164" i="7"/>
  <c r="F163" i="6"/>
  <c r="G164" i="6"/>
  <c r="I164" i="6" s="1"/>
  <c r="N163" i="7"/>
  <c r="H165" i="7"/>
  <c r="L162" i="6"/>
  <c r="N162" i="6" s="1"/>
  <c r="P164" i="7" l="1"/>
  <c r="F164" i="7"/>
  <c r="G165" i="7"/>
  <c r="F164" i="6"/>
  <c r="G165" i="6"/>
  <c r="I165" i="6" s="1"/>
  <c r="H166" i="7"/>
  <c r="N164" i="7"/>
  <c r="L163" i="6"/>
  <c r="N163" i="6" s="1"/>
  <c r="F165" i="7" l="1"/>
  <c r="P165" i="7"/>
  <c r="G166" i="7"/>
  <c r="F165" i="6"/>
  <c r="G166" i="6"/>
  <c r="I166" i="6" s="1"/>
  <c r="N165" i="7"/>
  <c r="H167" i="7"/>
  <c r="L164" i="6"/>
  <c r="N164" i="6" s="1"/>
  <c r="F166" i="7" l="1"/>
  <c r="G167" i="7"/>
  <c r="P166" i="7"/>
  <c r="F166" i="6"/>
  <c r="G167" i="6"/>
  <c r="I167" i="6" s="1"/>
  <c r="N166" i="7"/>
  <c r="H168" i="7"/>
  <c r="L165" i="6"/>
  <c r="N165" i="6"/>
  <c r="F167" i="7" l="1"/>
  <c r="P167" i="7"/>
  <c r="G168" i="7"/>
  <c r="F167" i="6"/>
  <c r="G168" i="6"/>
  <c r="I168" i="6" s="1"/>
  <c r="H169" i="7"/>
  <c r="N167" i="7"/>
  <c r="L166" i="6"/>
  <c r="N166" i="6" s="1"/>
  <c r="P168" i="7" l="1"/>
  <c r="F168" i="7"/>
  <c r="G169" i="7"/>
  <c r="F168" i="6"/>
  <c r="G169" i="6"/>
  <c r="I169" i="6" s="1"/>
  <c r="H170" i="7"/>
  <c r="N168" i="7"/>
  <c r="L167" i="6"/>
  <c r="N167" i="6" s="1"/>
  <c r="F169" i="7" l="1"/>
  <c r="P169" i="7"/>
  <c r="G170" i="7"/>
  <c r="F169" i="6"/>
  <c r="G170" i="6"/>
  <c r="I170" i="6" s="1"/>
  <c r="H171" i="7"/>
  <c r="N169" i="7"/>
  <c r="L168" i="6"/>
  <c r="N168" i="6" s="1"/>
  <c r="G171" i="7" l="1"/>
  <c r="F170" i="7"/>
  <c r="P170" i="7"/>
  <c r="F170" i="6"/>
  <c r="G171" i="6"/>
  <c r="I171" i="6" s="1"/>
  <c r="N170" i="7"/>
  <c r="H172" i="7"/>
  <c r="L169" i="6"/>
  <c r="N169" i="6" s="1"/>
  <c r="F171" i="7" l="1"/>
  <c r="P171" i="7"/>
  <c r="G172" i="7"/>
  <c r="F171" i="6"/>
  <c r="G172" i="6"/>
  <c r="I172" i="6" s="1"/>
  <c r="H173" i="7"/>
  <c r="N171" i="7"/>
  <c r="L170" i="6"/>
  <c r="N170" i="6" s="1"/>
  <c r="G173" i="7" l="1"/>
  <c r="F172" i="7"/>
  <c r="P172" i="7"/>
  <c r="F172" i="6"/>
  <c r="G173" i="6"/>
  <c r="I173" i="6" s="1"/>
  <c r="H174" i="7"/>
  <c r="N172" i="7"/>
  <c r="L171" i="6"/>
  <c r="N171" i="6" s="1"/>
  <c r="F173" i="7" l="1"/>
  <c r="P173" i="7"/>
  <c r="G174" i="7"/>
  <c r="F173" i="6"/>
  <c r="G174" i="6"/>
  <c r="I174" i="6" s="1"/>
  <c r="H175" i="7"/>
  <c r="N173" i="7"/>
  <c r="L172" i="6"/>
  <c r="N172" i="6" s="1"/>
  <c r="G175" i="7" l="1"/>
  <c r="F174" i="7"/>
  <c r="P174" i="7"/>
  <c r="F174" i="6"/>
  <c r="G175" i="6"/>
  <c r="I175" i="6" s="1"/>
  <c r="N174" i="7"/>
  <c r="H176" i="7"/>
  <c r="L173" i="6"/>
  <c r="N173" i="6" s="1"/>
  <c r="F175" i="7" l="1"/>
  <c r="P175" i="7"/>
  <c r="G176" i="7"/>
  <c r="F175" i="6"/>
  <c r="G176" i="6"/>
  <c r="I176" i="6" s="1"/>
  <c r="N175" i="7"/>
  <c r="H177" i="7"/>
  <c r="L174" i="6"/>
  <c r="N174" i="6"/>
  <c r="F176" i="7" l="1"/>
  <c r="G177" i="7"/>
  <c r="P176" i="7"/>
  <c r="F176" i="6"/>
  <c r="G177" i="6"/>
  <c r="I177" i="6" s="1"/>
  <c r="H178" i="7"/>
  <c r="N176" i="7"/>
  <c r="L175" i="6"/>
  <c r="N175" i="6" s="1"/>
  <c r="F177" i="7" l="1"/>
  <c r="P177" i="7"/>
  <c r="G178" i="7"/>
  <c r="F177" i="6"/>
  <c r="G178" i="6"/>
  <c r="I178" i="6" s="1"/>
  <c r="N177" i="7"/>
  <c r="H179" i="7"/>
  <c r="L176" i="6"/>
  <c r="N176" i="6" s="1"/>
  <c r="P178" i="7" l="1"/>
  <c r="F178" i="7"/>
  <c r="G179" i="7"/>
  <c r="F178" i="6"/>
  <c r="G179" i="6"/>
  <c r="I179" i="6" s="1"/>
  <c r="H180" i="7"/>
  <c r="N178" i="7"/>
  <c r="N177" i="6"/>
  <c r="L177" i="6"/>
  <c r="G180" i="7" l="1"/>
  <c r="F179" i="7"/>
  <c r="P179" i="7"/>
  <c r="F179" i="6"/>
  <c r="G180" i="6"/>
  <c r="I180" i="6" s="1"/>
  <c r="N179" i="7"/>
  <c r="H181" i="7"/>
  <c r="L178" i="6"/>
  <c r="N178" i="6" s="1"/>
  <c r="P180" i="7" l="1"/>
  <c r="F180" i="7"/>
  <c r="G181" i="7"/>
  <c r="F180" i="6"/>
  <c r="G181" i="6"/>
  <c r="I181" i="6" s="1"/>
  <c r="H182" i="7"/>
  <c r="N180" i="7"/>
  <c r="L179" i="6"/>
  <c r="N179" i="6" s="1"/>
  <c r="G182" i="7" l="1"/>
  <c r="F181" i="7"/>
  <c r="P181" i="7"/>
  <c r="F181" i="6"/>
  <c r="G182" i="6"/>
  <c r="I182" i="6" s="1"/>
  <c r="H183" i="7"/>
  <c r="N181" i="7"/>
  <c r="N180" i="6"/>
  <c r="L180" i="6"/>
  <c r="F182" i="7" l="1"/>
  <c r="G183" i="7"/>
  <c r="P182" i="7"/>
  <c r="F182" i="6"/>
  <c r="G183" i="6"/>
  <c r="I183" i="6" s="1"/>
  <c r="H184" i="7"/>
  <c r="N182" i="7"/>
  <c r="L181" i="6"/>
  <c r="N181" i="6" s="1"/>
  <c r="F183" i="7" l="1"/>
  <c r="P183" i="7"/>
  <c r="G184" i="7"/>
  <c r="F183" i="6"/>
  <c r="G184" i="6"/>
  <c r="I184" i="6" s="1"/>
  <c r="H185" i="7"/>
  <c r="N183" i="7"/>
  <c r="N182" i="6"/>
  <c r="L182" i="6"/>
  <c r="G185" i="7" l="1"/>
  <c r="F184" i="7"/>
  <c r="P184" i="7"/>
  <c r="F184" i="6"/>
  <c r="G185" i="6"/>
  <c r="I185" i="6" s="1"/>
  <c r="N184" i="7"/>
  <c r="H186" i="7"/>
  <c r="N183" i="6"/>
  <c r="L183" i="6"/>
  <c r="F185" i="7" l="1"/>
  <c r="P185" i="7"/>
  <c r="G186" i="7"/>
  <c r="F185" i="6"/>
  <c r="G186" i="6"/>
  <c r="I186" i="6" s="1"/>
  <c r="N185" i="7"/>
  <c r="H187" i="7"/>
  <c r="L184" i="6"/>
  <c r="N184" i="6" s="1"/>
  <c r="F186" i="7" l="1"/>
  <c r="P186" i="7"/>
  <c r="G187" i="7"/>
  <c r="F186" i="6"/>
  <c r="G187" i="6"/>
  <c r="I187" i="6" s="1"/>
  <c r="H188" i="7"/>
  <c r="N186" i="7"/>
  <c r="L185" i="6"/>
  <c r="N185" i="6" s="1"/>
  <c r="G188" i="7" l="1"/>
  <c r="F187" i="7"/>
  <c r="P187" i="7"/>
  <c r="F187" i="6"/>
  <c r="G188" i="6"/>
  <c r="I188" i="6" s="1"/>
  <c r="H189" i="7"/>
  <c r="N187" i="7"/>
  <c r="N186" i="6"/>
  <c r="L186" i="6"/>
  <c r="G189" i="7" l="1"/>
  <c r="P188" i="7"/>
  <c r="F188" i="7"/>
  <c r="F188" i="6"/>
  <c r="G189" i="6"/>
  <c r="I189" i="6" s="1"/>
  <c r="H190" i="7"/>
  <c r="N188" i="7"/>
  <c r="L187" i="6"/>
  <c r="N187" i="6" s="1"/>
  <c r="G190" i="7" l="1"/>
  <c r="F189" i="7"/>
  <c r="P189" i="7"/>
  <c r="F189" i="6"/>
  <c r="G190" i="6"/>
  <c r="I190" i="6" s="1"/>
  <c r="H191" i="7"/>
  <c r="N189" i="7"/>
  <c r="L188" i="6"/>
  <c r="N188" i="6" s="1"/>
  <c r="G191" i="7" l="1"/>
  <c r="F190" i="7"/>
  <c r="P190" i="7"/>
  <c r="F190" i="6"/>
  <c r="G191" i="6"/>
  <c r="I191" i="6" s="1"/>
  <c r="H192" i="7"/>
  <c r="N190" i="7"/>
  <c r="N189" i="6"/>
  <c r="L189" i="6"/>
  <c r="G192" i="7" l="1"/>
  <c r="P191" i="7"/>
  <c r="F191" i="7"/>
  <c r="F191" i="6"/>
  <c r="G192" i="6"/>
  <c r="I192" i="6" s="1"/>
  <c r="H193" i="7"/>
  <c r="N191" i="7"/>
  <c r="N190" i="6"/>
  <c r="L190" i="6"/>
  <c r="G193" i="7" l="1"/>
  <c r="F192" i="7"/>
  <c r="P192" i="7"/>
  <c r="F192" i="6"/>
  <c r="G193" i="6"/>
  <c r="I193" i="6" s="1"/>
  <c r="N192" i="7"/>
  <c r="H194" i="7"/>
  <c r="N191" i="6"/>
  <c r="L191" i="6"/>
  <c r="G194" i="7" l="1"/>
  <c r="P193" i="7"/>
  <c r="F193" i="7"/>
  <c r="F193" i="6"/>
  <c r="G194" i="6"/>
  <c r="I194" i="6" s="1"/>
  <c r="N193" i="7"/>
  <c r="H195" i="7"/>
  <c r="L192" i="6"/>
  <c r="N192" i="6" s="1"/>
  <c r="F194" i="7" l="1"/>
  <c r="P194" i="7"/>
  <c r="G195" i="7"/>
  <c r="F194" i="6"/>
  <c r="G195" i="6"/>
  <c r="I195" i="6" s="1"/>
  <c r="H196" i="7"/>
  <c r="N194" i="7"/>
  <c r="L193" i="6"/>
  <c r="N193" i="6" s="1"/>
  <c r="F195" i="7" l="1"/>
  <c r="P195" i="7"/>
  <c r="G196" i="7"/>
  <c r="F195" i="6"/>
  <c r="G196" i="6"/>
  <c r="I196" i="6" s="1"/>
  <c r="N195" i="7"/>
  <c r="H197" i="7"/>
  <c r="L194" i="6"/>
  <c r="N194" i="6" s="1"/>
  <c r="F196" i="7" l="1"/>
  <c r="P196" i="7"/>
  <c r="G197" i="7"/>
  <c r="F196" i="6"/>
  <c r="G197" i="6"/>
  <c r="I197" i="6" s="1"/>
  <c r="H198" i="7"/>
  <c r="N196" i="7"/>
  <c r="L195" i="6"/>
  <c r="N195" i="6" s="1"/>
  <c r="F197" i="7" l="1"/>
  <c r="P197" i="7"/>
  <c r="G198" i="7"/>
  <c r="F197" i="6"/>
  <c r="G198" i="6"/>
  <c r="I198" i="6" s="1"/>
  <c r="H199" i="7"/>
  <c r="N197" i="7"/>
  <c r="L196" i="6"/>
  <c r="N196" i="6" s="1"/>
  <c r="F198" i="7" l="1"/>
  <c r="P198" i="7"/>
  <c r="G199" i="7"/>
  <c r="F198" i="6"/>
  <c r="G199" i="6"/>
  <c r="I199" i="6" s="1"/>
  <c r="H200" i="7"/>
  <c r="N198" i="7"/>
  <c r="L197" i="6"/>
  <c r="N197" i="6"/>
  <c r="F199" i="7" l="1"/>
  <c r="P199" i="7"/>
  <c r="G200" i="7"/>
  <c r="F199" i="6"/>
  <c r="G200" i="6"/>
  <c r="I200" i="6" s="1"/>
  <c r="N199" i="7"/>
  <c r="H201" i="7"/>
  <c r="L198" i="6"/>
  <c r="N198" i="6"/>
  <c r="F200" i="7" l="1"/>
  <c r="P200" i="7"/>
  <c r="G201" i="7"/>
  <c r="F200" i="6"/>
  <c r="G201" i="6"/>
  <c r="I201" i="6" s="1"/>
  <c r="N200" i="7"/>
  <c r="H202" i="7"/>
  <c r="L199" i="6"/>
  <c r="N199" i="6" s="1"/>
  <c r="P201" i="7" l="1"/>
  <c r="F201" i="7"/>
  <c r="G202" i="7"/>
  <c r="F201" i="6"/>
  <c r="G202" i="6"/>
  <c r="I202" i="6" s="1"/>
  <c r="H203" i="7"/>
  <c r="N201" i="7"/>
  <c r="L200" i="6"/>
  <c r="N200" i="6" s="1"/>
  <c r="P202" i="7" l="1"/>
  <c r="F202" i="7"/>
  <c r="G203" i="7"/>
  <c r="F202" i="6"/>
  <c r="G203" i="6"/>
  <c r="I203" i="6" s="1"/>
  <c r="H204" i="7"/>
  <c r="N202" i="7"/>
  <c r="L201" i="6"/>
  <c r="N201" i="6"/>
  <c r="F203" i="7" l="1"/>
  <c r="P203" i="7"/>
  <c r="G204" i="7"/>
  <c r="F203" i="6"/>
  <c r="G204" i="6"/>
  <c r="I204" i="6" s="1"/>
  <c r="H205" i="7"/>
  <c r="N203" i="7"/>
  <c r="N202" i="6"/>
  <c r="L202" i="6"/>
  <c r="P204" i="7" l="1"/>
  <c r="F204" i="7"/>
  <c r="G205" i="7"/>
  <c r="F204" i="6"/>
  <c r="G205" i="6"/>
  <c r="I205" i="6" s="1"/>
  <c r="N204" i="7"/>
  <c r="H206" i="7"/>
  <c r="L203" i="6"/>
  <c r="N203" i="6" s="1"/>
  <c r="F205" i="7" l="1"/>
  <c r="P205" i="7"/>
  <c r="G206" i="7"/>
  <c r="F205" i="6"/>
  <c r="G206" i="6"/>
  <c r="I206" i="6" s="1"/>
  <c r="H207" i="7"/>
  <c r="N205" i="7"/>
  <c r="L204" i="6"/>
  <c r="N204" i="6" s="1"/>
  <c r="F206" i="7" l="1"/>
  <c r="P206" i="7"/>
  <c r="G207" i="7"/>
  <c r="F206" i="6"/>
  <c r="G207" i="6"/>
  <c r="I207" i="6" s="1"/>
  <c r="H208" i="7"/>
  <c r="N206" i="7"/>
  <c r="L205" i="6"/>
  <c r="N205" i="6" s="1"/>
  <c r="F207" i="7" l="1"/>
  <c r="P207" i="7"/>
  <c r="G208" i="7"/>
  <c r="F207" i="6"/>
  <c r="G208" i="6"/>
  <c r="I208" i="6" s="1"/>
  <c r="H209" i="7"/>
  <c r="N207" i="7"/>
  <c r="L206" i="6"/>
  <c r="N206" i="6"/>
  <c r="F208" i="7" l="1"/>
  <c r="P208" i="7"/>
  <c r="G209" i="7"/>
  <c r="F208" i="6"/>
  <c r="G209" i="6"/>
  <c r="I209" i="6" s="1"/>
  <c r="H210" i="7"/>
  <c r="N208" i="7"/>
  <c r="L207" i="6"/>
  <c r="N207" i="6" s="1"/>
  <c r="F209" i="7" l="1"/>
  <c r="P209" i="7"/>
  <c r="G210" i="7"/>
  <c r="F209" i="6"/>
  <c r="G210" i="6"/>
  <c r="I210" i="6" s="1"/>
  <c r="H211" i="7"/>
  <c r="N209" i="7"/>
  <c r="L208" i="6"/>
  <c r="N208" i="6" s="1"/>
  <c r="F210" i="7" l="1"/>
  <c r="P210" i="7"/>
  <c r="G211" i="7"/>
  <c r="F210" i="6"/>
  <c r="G211" i="6"/>
  <c r="I211" i="6" s="1"/>
  <c r="H212" i="7"/>
  <c r="N210" i="7"/>
  <c r="L209" i="6"/>
  <c r="N209" i="6" s="1"/>
  <c r="P211" i="7" l="1"/>
  <c r="F211" i="7"/>
  <c r="G212" i="7"/>
  <c r="F211" i="6"/>
  <c r="G212" i="6"/>
  <c r="I212" i="6" s="1"/>
  <c r="H213" i="7"/>
  <c r="N211" i="7"/>
  <c r="L210" i="6"/>
  <c r="N210" i="6"/>
  <c r="F212" i="7" l="1"/>
  <c r="P212" i="7"/>
  <c r="G213" i="7"/>
  <c r="F212" i="6"/>
  <c r="G213" i="6"/>
  <c r="I213" i="6" s="1"/>
  <c r="N212" i="7"/>
  <c r="H214" i="7"/>
  <c r="L211" i="6"/>
  <c r="N211" i="6" s="1"/>
  <c r="F213" i="7" l="1"/>
  <c r="P213" i="7"/>
  <c r="G214" i="7"/>
  <c r="F213" i="6"/>
  <c r="G214" i="6"/>
  <c r="I214" i="6" s="1"/>
  <c r="H215" i="7"/>
  <c r="N213" i="7"/>
  <c r="L212" i="6"/>
  <c r="N212" i="6" s="1"/>
  <c r="P214" i="7" l="1"/>
  <c r="G215" i="7"/>
  <c r="F214" i="7"/>
  <c r="F214" i="6"/>
  <c r="G215" i="6"/>
  <c r="I215" i="6" s="1"/>
  <c r="H216" i="7"/>
  <c r="N214" i="7"/>
  <c r="N213" i="6"/>
  <c r="L213" i="6"/>
  <c r="F215" i="7" l="1"/>
  <c r="P215" i="7"/>
  <c r="G216" i="7"/>
  <c r="F215" i="6"/>
  <c r="G216" i="6"/>
  <c r="I216" i="6" s="1"/>
  <c r="N215" i="7"/>
  <c r="H217" i="7"/>
  <c r="L214" i="6"/>
  <c r="N214" i="6" s="1"/>
  <c r="F216" i="7" l="1"/>
  <c r="P216" i="7"/>
  <c r="G217" i="7"/>
  <c r="F216" i="6"/>
  <c r="G217" i="6"/>
  <c r="I217" i="6" s="1"/>
  <c r="N216" i="7"/>
  <c r="H218" i="7"/>
  <c r="L215" i="6"/>
  <c r="N215" i="6" s="1"/>
  <c r="F217" i="7" l="1"/>
  <c r="P217" i="7"/>
  <c r="G218" i="7"/>
  <c r="F217" i="6"/>
  <c r="G218" i="6"/>
  <c r="I218" i="6" s="1"/>
  <c r="H219" i="7"/>
  <c r="N217" i="7"/>
  <c r="L216" i="6"/>
  <c r="N216" i="6" s="1"/>
  <c r="P218" i="7" l="1"/>
  <c r="F218" i="7"/>
  <c r="G219" i="7"/>
  <c r="F218" i="6"/>
  <c r="G219" i="6"/>
  <c r="I219" i="6" s="1"/>
  <c r="H220" i="7"/>
  <c r="N218" i="7"/>
  <c r="L217" i="6"/>
  <c r="N217" i="6" s="1"/>
  <c r="P219" i="7" l="1"/>
  <c r="F219" i="7"/>
  <c r="G220" i="7"/>
  <c r="F219" i="6"/>
  <c r="G220" i="6"/>
  <c r="I220" i="6" s="1"/>
  <c r="H221" i="7"/>
  <c r="N219" i="7"/>
  <c r="N218" i="6"/>
  <c r="L218" i="6"/>
  <c r="F220" i="7" l="1"/>
  <c r="P220" i="7"/>
  <c r="G221" i="7"/>
  <c r="F220" i="6"/>
  <c r="G221" i="6"/>
  <c r="I221" i="6" s="1"/>
  <c r="N220" i="7"/>
  <c r="H222" i="7"/>
  <c r="L219" i="6"/>
  <c r="N219" i="6" s="1"/>
  <c r="P221" i="7" l="1"/>
  <c r="F221" i="7"/>
  <c r="G222" i="7"/>
  <c r="F221" i="6"/>
  <c r="G222" i="6"/>
  <c r="I222" i="6" s="1"/>
  <c r="H223" i="7"/>
  <c r="N221" i="7"/>
  <c r="L220" i="6"/>
  <c r="N220" i="6" s="1"/>
  <c r="F222" i="7" l="1"/>
  <c r="G223" i="7"/>
  <c r="P222" i="7"/>
  <c r="F222" i="6"/>
  <c r="G223" i="6"/>
  <c r="I223" i="6" s="1"/>
  <c r="H224" i="7"/>
  <c r="N222" i="7"/>
  <c r="L221" i="6"/>
  <c r="N221" i="6" s="1"/>
  <c r="F223" i="7" l="1"/>
  <c r="P223" i="7"/>
  <c r="G224" i="7"/>
  <c r="F223" i="6"/>
  <c r="G224" i="6"/>
  <c r="I224" i="6" s="1"/>
  <c r="H225" i="7"/>
  <c r="N223" i="7"/>
  <c r="L222" i="6"/>
  <c r="N222" i="6" s="1"/>
  <c r="F224" i="7" l="1"/>
  <c r="P224" i="7"/>
  <c r="G225" i="7"/>
  <c r="F224" i="6"/>
  <c r="G225" i="6"/>
  <c r="I225" i="6" s="1"/>
  <c r="N224" i="7"/>
  <c r="H226" i="7"/>
  <c r="L223" i="6"/>
  <c r="N223" i="6" s="1"/>
  <c r="F225" i="7" l="1"/>
  <c r="P225" i="7"/>
  <c r="G226" i="7"/>
  <c r="F225" i="6"/>
  <c r="G226" i="6"/>
  <c r="I226" i="6" s="1"/>
  <c r="H227" i="7"/>
  <c r="N225" i="7"/>
  <c r="L224" i="6"/>
  <c r="N224" i="6" s="1"/>
  <c r="F226" i="7" l="1"/>
  <c r="P226" i="7"/>
  <c r="G227" i="7"/>
  <c r="F226" i="6"/>
  <c r="G227" i="6"/>
  <c r="I227" i="6" s="1"/>
  <c r="H228" i="7"/>
  <c r="N226" i="7"/>
  <c r="L225" i="6"/>
  <c r="N225" i="6" s="1"/>
  <c r="P227" i="7" l="1"/>
  <c r="F227" i="7"/>
  <c r="G228" i="7"/>
  <c r="F227" i="6"/>
  <c r="G228" i="6"/>
  <c r="I228" i="6" s="1"/>
  <c r="H229" i="7"/>
  <c r="N227" i="7"/>
  <c r="L226" i="6"/>
  <c r="N226" i="6" s="1"/>
  <c r="F228" i="7" l="1"/>
  <c r="P228" i="7"/>
  <c r="G229" i="7"/>
  <c r="F228" i="6"/>
  <c r="G229" i="6"/>
  <c r="I229" i="6" s="1"/>
  <c r="N228" i="7"/>
  <c r="H230" i="7"/>
  <c r="L227" i="6"/>
  <c r="N227" i="6" s="1"/>
  <c r="G230" i="7" l="1"/>
  <c r="F229" i="7"/>
  <c r="P229" i="7"/>
  <c r="F229" i="6"/>
  <c r="G230" i="6"/>
  <c r="I230" i="6" s="1"/>
  <c r="N229" i="7"/>
  <c r="H231" i="7"/>
  <c r="L228" i="6"/>
  <c r="N228" i="6" s="1"/>
  <c r="F230" i="7" l="1"/>
  <c r="P230" i="7"/>
  <c r="G231" i="7"/>
  <c r="F230" i="6"/>
  <c r="G231" i="6"/>
  <c r="I231" i="6" s="1"/>
  <c r="N230" i="7"/>
  <c r="H232" i="7"/>
  <c r="N229" i="6"/>
  <c r="L229" i="6"/>
  <c r="F231" i="7" l="1"/>
  <c r="P231" i="7"/>
  <c r="G232" i="7"/>
  <c r="F231" i="6"/>
  <c r="G232" i="6"/>
  <c r="I232" i="6" s="1"/>
  <c r="N231" i="7"/>
  <c r="H233" i="7"/>
  <c r="L230" i="6"/>
  <c r="N230" i="6"/>
  <c r="F232" i="7" l="1"/>
  <c r="P232" i="7"/>
  <c r="G233" i="7"/>
  <c r="F232" i="6"/>
  <c r="G233" i="6"/>
  <c r="I233" i="6" s="1"/>
  <c r="N232" i="7"/>
  <c r="H234" i="7"/>
  <c r="L231" i="6"/>
  <c r="N231" i="6" s="1"/>
  <c r="F233" i="7" l="1"/>
  <c r="P233" i="7"/>
  <c r="G234" i="7"/>
  <c r="F233" i="6"/>
  <c r="G234" i="6"/>
  <c r="I234" i="6" s="1"/>
  <c r="H235" i="7"/>
  <c r="N233" i="7"/>
  <c r="L232" i="6"/>
  <c r="N232" i="6" s="1"/>
  <c r="F234" i="7" l="1"/>
  <c r="P234" i="7"/>
  <c r="G235" i="7"/>
  <c r="F234" i="6"/>
  <c r="G235" i="6"/>
  <c r="I235" i="6" s="1"/>
  <c r="H236" i="7"/>
  <c r="N234" i="7"/>
  <c r="L233" i="6"/>
  <c r="N233" i="6" s="1"/>
  <c r="F235" i="7" l="1"/>
  <c r="G236" i="7"/>
  <c r="P235" i="7"/>
  <c r="F235" i="6"/>
  <c r="G236" i="6"/>
  <c r="I236" i="6" s="1"/>
  <c r="N235" i="7"/>
  <c r="H237" i="7"/>
  <c r="N234" i="6"/>
  <c r="L234" i="6"/>
  <c r="P236" i="7" l="1"/>
  <c r="F236" i="7"/>
  <c r="G237" i="7"/>
  <c r="F236" i="6"/>
  <c r="G237" i="6"/>
  <c r="I237" i="6" s="1"/>
  <c r="N236" i="7"/>
  <c r="H238" i="7"/>
  <c r="L235" i="6"/>
  <c r="N235" i="6" s="1"/>
  <c r="F237" i="7" l="1"/>
  <c r="P237" i="7"/>
  <c r="G238" i="7"/>
  <c r="F237" i="6"/>
  <c r="G238" i="6"/>
  <c r="I238" i="6" s="1"/>
  <c r="H239" i="7"/>
  <c r="N237" i="7"/>
  <c r="L236" i="6"/>
  <c r="N236" i="6" s="1"/>
  <c r="F238" i="7" l="1"/>
  <c r="P238" i="7"/>
  <c r="G239" i="7"/>
  <c r="F238" i="6"/>
  <c r="G239" i="6"/>
  <c r="I239" i="6" s="1"/>
  <c r="H240" i="7"/>
  <c r="N238" i="7"/>
  <c r="N237" i="6"/>
  <c r="L237" i="6"/>
  <c r="G240" i="7" l="1"/>
  <c r="F239" i="7"/>
  <c r="P239" i="7"/>
  <c r="F239" i="6"/>
  <c r="G240" i="6"/>
  <c r="I240" i="6" s="1"/>
  <c r="N239" i="7"/>
  <c r="H241" i="7"/>
  <c r="N238" i="6"/>
  <c r="L238" i="6"/>
  <c r="F240" i="7" l="1"/>
  <c r="P240" i="7"/>
  <c r="G241" i="7"/>
  <c r="F240" i="6"/>
  <c r="G241" i="6"/>
  <c r="I241" i="6" s="1"/>
  <c r="H242" i="7"/>
  <c r="N240" i="7"/>
  <c r="L239" i="6"/>
  <c r="N239" i="6" s="1"/>
  <c r="G242" i="7" l="1"/>
  <c r="P241" i="7"/>
  <c r="F241" i="7"/>
  <c r="F241" i="6"/>
  <c r="G242" i="6"/>
  <c r="I242" i="6" s="1"/>
  <c r="H243" i="7"/>
  <c r="N241" i="7"/>
  <c r="L240" i="6"/>
  <c r="N240" i="6" s="1"/>
  <c r="P242" i="7" l="1"/>
  <c r="F242" i="7"/>
  <c r="F242" i="6"/>
  <c r="G243" i="6"/>
  <c r="I243" i="6" s="1"/>
  <c r="G243" i="7"/>
  <c r="H244" i="7"/>
  <c r="N242" i="7"/>
  <c r="L241" i="6"/>
  <c r="N241" i="6" s="1"/>
  <c r="P243" i="7" l="1"/>
  <c r="F243" i="7"/>
  <c r="F243" i="6"/>
  <c r="G244" i="6"/>
  <c r="I244" i="6" s="1"/>
  <c r="G244" i="7"/>
  <c r="H245" i="7"/>
  <c r="N243" i="7"/>
  <c r="L242" i="6"/>
  <c r="N242" i="6" s="1"/>
  <c r="P244" i="7" l="1"/>
  <c r="F244" i="7"/>
  <c r="F244" i="6"/>
  <c r="G245" i="6"/>
  <c r="I245" i="6" s="1"/>
  <c r="G245" i="7"/>
  <c r="H246" i="7"/>
  <c r="N244" i="7"/>
  <c r="N243" i="6"/>
  <c r="L243" i="6"/>
  <c r="P245" i="7" l="1"/>
  <c r="F245" i="7"/>
  <c r="F245" i="6"/>
  <c r="G246" i="6"/>
  <c r="I246" i="6" s="1"/>
  <c r="G246" i="7"/>
  <c r="N245" i="7"/>
  <c r="H247" i="7"/>
  <c r="L244" i="6"/>
  <c r="N244" i="6" s="1"/>
  <c r="P246" i="7" l="1"/>
  <c r="F246" i="7"/>
  <c r="F246" i="6"/>
  <c r="G247" i="6"/>
  <c r="I247" i="6" s="1"/>
  <c r="G247" i="7"/>
  <c r="N246" i="7"/>
  <c r="H248" i="7"/>
  <c r="L245" i="6"/>
  <c r="N245" i="6" s="1"/>
  <c r="N246" i="6" s="1"/>
  <c r="H248" i="6"/>
  <c r="F247" i="7" l="1"/>
  <c r="F247" i="6"/>
  <c r="K247" i="6"/>
  <c r="N247" i="7"/>
  <c r="L246" i="6"/>
  <c r="L247" i="6"/>
  <c r="N247" i="6" s="1"/>
  <c r="F248" i="6" l="1"/>
  <c r="J248" i="6"/>
  <c r="L248" i="6"/>
  <c r="N248" i="6" s="1"/>
  <c r="K248" i="6" l="1"/>
  <c r="M248" i="6" s="1"/>
  <c r="J247" i="6" l="1"/>
  <c r="M247" i="6" l="1"/>
  <c r="Q28" i="7" l="1"/>
  <c r="J5" i="6" l="1"/>
  <c r="M5" i="6" s="1"/>
  <c r="O5" i="6" l="1"/>
  <c r="K6" i="6" s="1"/>
  <c r="J6" i="6" l="1"/>
  <c r="O6" i="6" s="1"/>
  <c r="K7" i="6" s="1"/>
  <c r="J7" i="6" l="1"/>
  <c r="M6" i="6"/>
  <c r="M7" i="6" l="1"/>
  <c r="O7" i="6"/>
  <c r="K8" i="6" s="1"/>
  <c r="J8" i="6" l="1"/>
  <c r="M8" i="6" l="1"/>
  <c r="O8" i="6"/>
  <c r="K9" i="6" s="1"/>
  <c r="J9" i="6" l="1"/>
  <c r="M9" i="6" l="1"/>
  <c r="O9" i="6"/>
  <c r="K10" i="6" s="1"/>
  <c r="J10" i="6" l="1"/>
  <c r="M10" i="6" l="1"/>
  <c r="O10" i="6"/>
  <c r="K11" i="6" s="1"/>
  <c r="J11" i="6" l="1"/>
  <c r="M11" i="6" l="1"/>
  <c r="O11" i="6"/>
  <c r="K12" i="6" s="1"/>
  <c r="J12" i="6" l="1"/>
  <c r="M12" i="6" s="1"/>
  <c r="O12" i="6" l="1"/>
  <c r="K13" i="6" s="1"/>
  <c r="J13" i="6" l="1"/>
  <c r="M13" i="6" s="1"/>
  <c r="O13" i="6" l="1"/>
  <c r="K14" i="6" s="1"/>
  <c r="J14" i="6" l="1"/>
  <c r="M14" i="6" s="1"/>
  <c r="O14" i="6" l="1"/>
  <c r="K15" i="6" s="1"/>
  <c r="J15" i="6" l="1"/>
  <c r="M15" i="6" l="1"/>
  <c r="O15" i="6"/>
  <c r="K16" i="6" s="1"/>
  <c r="J16" i="6" l="1"/>
  <c r="M16" i="6" l="1"/>
  <c r="O16" i="6"/>
  <c r="K17" i="6" s="1"/>
  <c r="J17" i="6" l="1"/>
  <c r="M17" i="6" l="1"/>
  <c r="O17" i="6"/>
  <c r="K18" i="6" s="1"/>
  <c r="J18" i="6" l="1"/>
  <c r="M18" i="6" l="1"/>
  <c r="O18" i="6"/>
  <c r="K19" i="6" s="1"/>
  <c r="J19" i="6" l="1"/>
  <c r="M19" i="6" l="1"/>
  <c r="O19" i="6"/>
  <c r="K20" i="6" s="1"/>
  <c r="J20" i="6" l="1"/>
  <c r="M20" i="6" l="1"/>
  <c r="O20" i="6"/>
  <c r="K21" i="6" s="1"/>
  <c r="J21" i="6" l="1"/>
  <c r="M21" i="6" l="1"/>
  <c r="O21" i="6"/>
  <c r="K22" i="6" s="1"/>
  <c r="J22" i="6" l="1"/>
  <c r="M22" i="6" l="1"/>
  <c r="O22" i="6"/>
  <c r="K23" i="6" s="1"/>
  <c r="J23" i="6" l="1"/>
  <c r="M23" i="6" l="1"/>
  <c r="O23" i="6"/>
  <c r="K24" i="6" s="1"/>
  <c r="J24" i="6" l="1"/>
  <c r="M24" i="6" l="1"/>
  <c r="O24" i="6"/>
  <c r="K25" i="6" s="1"/>
  <c r="J25" i="6" l="1"/>
  <c r="M25" i="6" l="1"/>
  <c r="O25" i="6"/>
  <c r="K26" i="6" s="1"/>
  <c r="J26" i="6" l="1"/>
  <c r="M26" i="6" l="1"/>
  <c r="O26" i="6"/>
  <c r="K27" i="6" s="1"/>
  <c r="J27" i="6" l="1"/>
  <c r="M27" i="6" l="1"/>
  <c r="O27" i="6"/>
  <c r="K28" i="6" s="1"/>
  <c r="J28" i="6" l="1"/>
  <c r="M28" i="6" l="1"/>
  <c r="O28" i="6"/>
  <c r="K29" i="6" s="1"/>
  <c r="J29" i="6" l="1"/>
  <c r="M29" i="6" l="1"/>
  <c r="O29" i="6"/>
  <c r="K30" i="6" s="1"/>
  <c r="J30" i="6" l="1"/>
  <c r="M30" i="6" l="1"/>
  <c r="O30" i="6"/>
  <c r="K31" i="6" s="1"/>
  <c r="J31" i="6" l="1"/>
  <c r="M31" i="6" l="1"/>
  <c r="O31" i="6"/>
  <c r="K32" i="6" s="1"/>
  <c r="J32" i="6" l="1"/>
  <c r="M32" i="6" l="1"/>
  <c r="O32" i="6"/>
  <c r="K33" i="6" s="1"/>
  <c r="J33" i="6" l="1"/>
  <c r="M33" i="6" l="1"/>
  <c r="O33" i="6"/>
  <c r="K34" i="6" s="1"/>
  <c r="J34" i="6" l="1"/>
  <c r="M34" i="6" l="1"/>
  <c r="O34" i="6"/>
  <c r="K35" i="6" s="1"/>
  <c r="J35" i="6" l="1"/>
  <c r="M35" i="6" l="1"/>
  <c r="O35" i="6"/>
  <c r="K36" i="6" s="1"/>
  <c r="J36" i="6" l="1"/>
  <c r="M36" i="6" l="1"/>
  <c r="O36" i="6"/>
  <c r="K37" i="6" s="1"/>
  <c r="J37" i="6" l="1"/>
  <c r="M37" i="6" l="1"/>
  <c r="O37" i="6"/>
  <c r="K38" i="6" s="1"/>
  <c r="J38" i="6" l="1"/>
  <c r="M38" i="6" l="1"/>
  <c r="O38" i="6"/>
  <c r="K39" i="6" s="1"/>
  <c r="J39" i="6" l="1"/>
  <c r="M39" i="6" l="1"/>
  <c r="O39" i="6"/>
  <c r="K40" i="6" s="1"/>
  <c r="J40" i="6" l="1"/>
  <c r="M40" i="6" l="1"/>
  <c r="O40" i="6"/>
  <c r="K41" i="6" s="1"/>
  <c r="J41" i="6" l="1"/>
  <c r="M41" i="6" l="1"/>
  <c r="O41" i="6"/>
  <c r="K42" i="6" s="1"/>
  <c r="J42" i="6" l="1"/>
  <c r="M42" i="6" l="1"/>
  <c r="O42" i="6"/>
  <c r="K43" i="6" s="1"/>
  <c r="J43" i="6" l="1"/>
  <c r="M43" i="6" l="1"/>
  <c r="O43" i="6"/>
  <c r="K44" i="6" s="1"/>
  <c r="J44" i="6" l="1"/>
  <c r="M44" i="6" l="1"/>
  <c r="O44" i="6"/>
  <c r="K45" i="6" s="1"/>
  <c r="J45" i="6" l="1"/>
  <c r="M45" i="6" l="1"/>
  <c r="O45" i="6"/>
  <c r="K46" i="6" s="1"/>
  <c r="J46" i="6" l="1"/>
  <c r="M46" i="6" l="1"/>
  <c r="O46" i="6"/>
  <c r="K47" i="6" s="1"/>
  <c r="J47" i="6" l="1"/>
  <c r="M47" i="6" l="1"/>
  <c r="O47" i="6"/>
  <c r="K48" i="6" s="1"/>
  <c r="J48" i="6" l="1"/>
  <c r="M48" i="6" l="1"/>
  <c r="O48" i="6"/>
  <c r="K49" i="6" s="1"/>
  <c r="J49" i="6" l="1"/>
  <c r="M49" i="6" l="1"/>
  <c r="O49" i="6"/>
  <c r="K50" i="6" s="1"/>
  <c r="J50" i="6" l="1"/>
  <c r="M50" i="6" l="1"/>
  <c r="O50" i="6"/>
  <c r="K51" i="6" s="1"/>
  <c r="J51" i="6" l="1"/>
  <c r="M51" i="6" l="1"/>
  <c r="O51" i="6"/>
  <c r="K52" i="6" s="1"/>
  <c r="J52" i="6" l="1"/>
  <c r="M52" i="6" l="1"/>
  <c r="O52" i="6"/>
  <c r="K53" i="6" s="1"/>
  <c r="J53" i="6" l="1"/>
  <c r="M53" i="6" l="1"/>
  <c r="O53" i="6"/>
  <c r="K54" i="6" s="1"/>
  <c r="J54" i="6" l="1"/>
  <c r="M54" i="6" l="1"/>
  <c r="O54" i="6"/>
  <c r="K55" i="6" s="1"/>
  <c r="J55" i="6" l="1"/>
  <c r="M55" i="6" l="1"/>
  <c r="O55" i="6"/>
  <c r="K56" i="6" s="1"/>
  <c r="J56" i="6" l="1"/>
  <c r="M56" i="6" l="1"/>
  <c r="O56" i="6"/>
  <c r="K57" i="6" s="1"/>
  <c r="J57" i="6" l="1"/>
  <c r="M57" i="6" l="1"/>
  <c r="O57" i="6"/>
  <c r="K58" i="6" s="1"/>
  <c r="J58" i="6" l="1"/>
  <c r="M58" i="6" l="1"/>
  <c r="O58" i="6"/>
  <c r="K59" i="6" s="1"/>
  <c r="J59" i="6" l="1"/>
  <c r="M59" i="6" l="1"/>
  <c r="O59" i="6"/>
  <c r="K60" i="6" s="1"/>
  <c r="J60" i="6" l="1"/>
  <c r="O60" i="6" l="1"/>
  <c r="K61" i="6" s="1"/>
  <c r="M60" i="6"/>
  <c r="J61" i="6" l="1"/>
  <c r="M61" i="6" l="1"/>
  <c r="O61" i="6"/>
  <c r="K62" i="6" s="1"/>
  <c r="J62" i="6" l="1"/>
  <c r="M62" i="6" l="1"/>
  <c r="O62" i="6"/>
  <c r="K63" i="6" s="1"/>
  <c r="J63" i="6" l="1"/>
  <c r="M63" i="6" l="1"/>
  <c r="O63" i="6"/>
  <c r="K64" i="6" s="1"/>
  <c r="J64" i="6" l="1"/>
  <c r="M64" i="6" l="1"/>
  <c r="O64" i="6"/>
  <c r="K65" i="6" s="1"/>
  <c r="J65" i="6" l="1"/>
  <c r="M65" i="6" l="1"/>
  <c r="O65" i="6"/>
  <c r="K66" i="6" s="1"/>
  <c r="J66" i="6" l="1"/>
  <c r="M66" i="6" l="1"/>
  <c r="O66" i="6"/>
  <c r="K67" i="6" s="1"/>
  <c r="J67" i="6" l="1"/>
  <c r="M67" i="6" l="1"/>
  <c r="O67" i="6"/>
  <c r="K68" i="6" s="1"/>
  <c r="J68" i="6" l="1"/>
  <c r="M68" i="6" l="1"/>
  <c r="O68" i="6"/>
  <c r="K69" i="6" s="1"/>
  <c r="J69" i="6" l="1"/>
  <c r="M69" i="6" l="1"/>
  <c r="O69" i="6"/>
  <c r="K70" i="6" s="1"/>
  <c r="J70" i="6" l="1"/>
  <c r="M70" i="6" l="1"/>
  <c r="O70" i="6"/>
  <c r="K71" i="6" s="1"/>
  <c r="J71" i="6" l="1"/>
  <c r="M71" i="6" l="1"/>
  <c r="O71" i="6"/>
  <c r="K72" i="6" s="1"/>
  <c r="J72" i="6" l="1"/>
  <c r="M72" i="6" l="1"/>
  <c r="O72" i="6"/>
  <c r="K73" i="6" s="1"/>
  <c r="J73" i="6" l="1"/>
  <c r="M73" i="6" l="1"/>
  <c r="O73" i="6"/>
  <c r="K74" i="6" s="1"/>
  <c r="J74" i="6" l="1"/>
  <c r="M74" i="6" l="1"/>
  <c r="O74" i="6"/>
  <c r="K75" i="6" s="1"/>
  <c r="J75" i="6" l="1"/>
  <c r="M75" i="6" l="1"/>
  <c r="O75" i="6"/>
  <c r="K76" i="6" s="1"/>
  <c r="J76" i="6" l="1"/>
  <c r="M76" i="6" l="1"/>
  <c r="O76" i="6"/>
  <c r="K77" i="6" s="1"/>
  <c r="J77" i="6" l="1"/>
  <c r="M77" i="6" l="1"/>
  <c r="O77" i="6"/>
  <c r="K78" i="6" s="1"/>
  <c r="J78" i="6" l="1"/>
  <c r="M78" i="6" l="1"/>
  <c r="O78" i="6"/>
  <c r="K79" i="6" s="1"/>
  <c r="J79" i="6" l="1"/>
  <c r="M79" i="6" l="1"/>
  <c r="O79" i="6"/>
  <c r="K80" i="6" s="1"/>
  <c r="J80" i="6" l="1"/>
  <c r="M80" i="6" l="1"/>
  <c r="O80" i="6"/>
  <c r="K81" i="6" s="1"/>
  <c r="J81" i="6" l="1"/>
  <c r="M81" i="6" l="1"/>
  <c r="O81" i="6"/>
  <c r="K82" i="6" s="1"/>
  <c r="J82" i="6" l="1"/>
  <c r="M82" i="6" l="1"/>
  <c r="O82" i="6"/>
  <c r="K83" i="6" s="1"/>
  <c r="J83" i="6" l="1"/>
  <c r="M83" i="6" l="1"/>
  <c r="O83" i="6"/>
  <c r="K84" i="6" s="1"/>
  <c r="J84" i="6" l="1"/>
  <c r="M84" i="6" l="1"/>
  <c r="O84" i="6"/>
  <c r="K85" i="6" s="1"/>
  <c r="J85" i="6" l="1"/>
  <c r="M85" i="6" l="1"/>
  <c r="O85" i="6"/>
  <c r="K86" i="6" s="1"/>
  <c r="J86" i="6" l="1"/>
  <c r="M86" i="6" l="1"/>
  <c r="O86" i="6"/>
  <c r="K87" i="6" s="1"/>
  <c r="J87" i="6" l="1"/>
  <c r="M87" i="6" l="1"/>
  <c r="O87" i="6"/>
  <c r="K88" i="6" s="1"/>
  <c r="J88" i="6" l="1"/>
  <c r="M88" i="6" l="1"/>
  <c r="O88" i="6"/>
  <c r="K89" i="6" s="1"/>
  <c r="J89" i="6" l="1"/>
  <c r="M89" i="6" l="1"/>
  <c r="O89" i="6"/>
  <c r="K90" i="6" s="1"/>
  <c r="J90" i="6" l="1"/>
  <c r="M90" i="6" l="1"/>
  <c r="O90" i="6"/>
  <c r="K91" i="6" s="1"/>
  <c r="J91" i="6" l="1"/>
  <c r="M91" i="6" l="1"/>
  <c r="O91" i="6"/>
  <c r="K92" i="6" s="1"/>
  <c r="J92" i="6" l="1"/>
  <c r="M92" i="6" l="1"/>
  <c r="O92" i="6"/>
  <c r="K93" i="6" s="1"/>
  <c r="J93" i="6" l="1"/>
  <c r="M93" i="6" l="1"/>
  <c r="O93" i="6"/>
  <c r="K94" i="6" s="1"/>
  <c r="J94" i="6" l="1"/>
  <c r="M94" i="6" l="1"/>
  <c r="O94" i="6"/>
  <c r="K95" i="6" s="1"/>
  <c r="J95" i="6" l="1"/>
  <c r="M95" i="6" l="1"/>
  <c r="O95" i="6"/>
  <c r="K96" i="6" s="1"/>
  <c r="J96" i="6" l="1"/>
  <c r="M96" i="6" l="1"/>
  <c r="O96" i="6"/>
  <c r="K97" i="6" s="1"/>
  <c r="J97" i="6" l="1"/>
  <c r="M97" i="6" l="1"/>
  <c r="O97" i="6"/>
  <c r="K98" i="6" s="1"/>
  <c r="J98" i="6" l="1"/>
  <c r="M98" i="6" l="1"/>
  <c r="O98" i="6"/>
  <c r="K99" i="6" s="1"/>
  <c r="J99" i="6" l="1"/>
  <c r="M99" i="6" l="1"/>
  <c r="O99" i="6"/>
  <c r="K100" i="6" s="1"/>
  <c r="J100" i="6" l="1"/>
  <c r="M100" i="6" l="1"/>
  <c r="O100" i="6"/>
  <c r="K101" i="6" s="1"/>
  <c r="J101" i="6" l="1"/>
  <c r="M101" i="6" l="1"/>
  <c r="O101" i="6"/>
  <c r="K102" i="6" s="1"/>
  <c r="J102" i="6" l="1"/>
  <c r="M102" i="6" l="1"/>
  <c r="O102" i="6"/>
  <c r="K103" i="6" s="1"/>
  <c r="J103" i="6" l="1"/>
  <c r="M103" i="6" l="1"/>
  <c r="O103" i="6"/>
  <c r="K104" i="6" s="1"/>
  <c r="J104" i="6" l="1"/>
  <c r="M104" i="6" l="1"/>
  <c r="O104" i="6"/>
  <c r="K105" i="6" s="1"/>
  <c r="J105" i="6" l="1"/>
  <c r="M105" i="6" l="1"/>
  <c r="O105" i="6"/>
  <c r="K106" i="6" s="1"/>
  <c r="J106" i="6" l="1"/>
  <c r="M106" i="6" l="1"/>
  <c r="O106" i="6"/>
  <c r="K107" i="6" s="1"/>
  <c r="J107" i="6" l="1"/>
  <c r="M107" i="6" l="1"/>
  <c r="O107" i="6"/>
  <c r="K108" i="6" s="1"/>
  <c r="J108" i="6" l="1"/>
  <c r="M108" i="6" l="1"/>
  <c r="O108" i="6"/>
  <c r="K109" i="6" s="1"/>
  <c r="J109" i="6" l="1"/>
  <c r="M109" i="6" l="1"/>
  <c r="O109" i="6"/>
  <c r="K110" i="6" s="1"/>
  <c r="J110" i="6" l="1"/>
  <c r="M110" i="6" l="1"/>
  <c r="O110" i="6"/>
  <c r="K111" i="6" s="1"/>
  <c r="J111" i="6" l="1"/>
  <c r="M111" i="6" l="1"/>
  <c r="O111" i="6"/>
  <c r="K112" i="6" s="1"/>
  <c r="J112" i="6" l="1"/>
  <c r="M112" i="6" l="1"/>
  <c r="O112" i="6"/>
  <c r="K113" i="6" s="1"/>
  <c r="J113" i="6" l="1"/>
  <c r="M113" i="6" l="1"/>
  <c r="O113" i="6"/>
  <c r="K114" i="6" s="1"/>
  <c r="J114" i="6" l="1"/>
  <c r="M114" i="6" l="1"/>
  <c r="O114" i="6"/>
  <c r="K115" i="6" s="1"/>
  <c r="J115" i="6" l="1"/>
  <c r="M115" i="6" l="1"/>
  <c r="O115" i="6"/>
  <c r="K116" i="6" s="1"/>
  <c r="J116" i="6" l="1"/>
  <c r="M116" i="6" l="1"/>
  <c r="O116" i="6"/>
  <c r="K117" i="6" s="1"/>
  <c r="J117" i="6" l="1"/>
  <c r="M117" i="6" l="1"/>
  <c r="O117" i="6"/>
  <c r="K118" i="6" s="1"/>
  <c r="J118" i="6" l="1"/>
  <c r="M118" i="6" l="1"/>
  <c r="O118" i="6"/>
  <c r="K119" i="6" s="1"/>
  <c r="J119" i="6" l="1"/>
  <c r="M119" i="6" l="1"/>
  <c r="O119" i="6"/>
  <c r="K120" i="6" s="1"/>
  <c r="J120" i="6" l="1"/>
  <c r="M120" i="6" l="1"/>
  <c r="O120" i="6"/>
  <c r="K121" i="6" s="1"/>
  <c r="J121" i="6" l="1"/>
  <c r="M121" i="6" l="1"/>
  <c r="O121" i="6"/>
  <c r="K122" i="6" s="1"/>
  <c r="J122" i="6" l="1"/>
  <c r="M122" i="6" l="1"/>
  <c r="O122" i="6"/>
  <c r="K123" i="6" s="1"/>
  <c r="J123" i="6" l="1"/>
  <c r="M123" i="6" l="1"/>
  <c r="O123" i="6"/>
  <c r="K124" i="6" s="1"/>
  <c r="J124" i="6" l="1"/>
  <c r="M124" i="6" l="1"/>
  <c r="O124" i="6"/>
  <c r="K125" i="6" s="1"/>
  <c r="J125" i="6" l="1"/>
  <c r="M125" i="6" l="1"/>
  <c r="O125" i="6"/>
  <c r="K126" i="6" s="1"/>
  <c r="J126" i="6" l="1"/>
  <c r="M126" i="6" l="1"/>
  <c r="O126" i="6"/>
  <c r="K127" i="6" s="1"/>
  <c r="J127" i="6" l="1"/>
  <c r="M127" i="6" l="1"/>
  <c r="O127" i="6"/>
  <c r="K128" i="6" s="1"/>
  <c r="J128" i="6" l="1"/>
  <c r="M128" i="6" l="1"/>
  <c r="O128" i="6"/>
  <c r="K129" i="6" s="1"/>
  <c r="J129" i="6" l="1"/>
  <c r="M129" i="6" l="1"/>
  <c r="O129" i="6"/>
  <c r="K130" i="6" s="1"/>
  <c r="J130" i="6" l="1"/>
  <c r="M130" i="6" l="1"/>
  <c r="O130" i="6"/>
  <c r="K131" i="6" s="1"/>
  <c r="J131" i="6" l="1"/>
  <c r="M131" i="6" l="1"/>
  <c r="O131" i="6"/>
  <c r="K132" i="6" s="1"/>
  <c r="J132" i="6" l="1"/>
  <c r="M132" i="6" l="1"/>
  <c r="O132" i="6"/>
  <c r="K133" i="6" s="1"/>
  <c r="J133" i="6" l="1"/>
  <c r="M133" i="6" l="1"/>
  <c r="O133" i="6"/>
  <c r="K134" i="6" s="1"/>
  <c r="J134" i="6" l="1"/>
  <c r="M134" i="6" l="1"/>
  <c r="O134" i="6"/>
  <c r="K135" i="6" s="1"/>
  <c r="J135" i="6" l="1"/>
  <c r="M135" i="6" l="1"/>
  <c r="O135" i="6"/>
  <c r="K136" i="6" s="1"/>
  <c r="J136" i="6" l="1"/>
  <c r="M136" i="6" l="1"/>
  <c r="O136" i="6"/>
  <c r="K137" i="6" s="1"/>
  <c r="J137" i="6" l="1"/>
  <c r="M137" i="6" l="1"/>
  <c r="O137" i="6"/>
  <c r="K138" i="6" s="1"/>
  <c r="J138" i="6" l="1"/>
  <c r="M138" i="6" l="1"/>
  <c r="O138" i="6"/>
  <c r="K139" i="6" s="1"/>
  <c r="J139" i="6" l="1"/>
  <c r="M139" i="6" l="1"/>
  <c r="O139" i="6"/>
  <c r="K140" i="6" s="1"/>
  <c r="J140" i="6" l="1"/>
  <c r="M140" i="6" l="1"/>
  <c r="O140" i="6"/>
  <c r="K141" i="6" s="1"/>
  <c r="J141" i="6" l="1"/>
  <c r="M141" i="6" l="1"/>
  <c r="O141" i="6"/>
  <c r="K142" i="6" s="1"/>
  <c r="J142" i="6" l="1"/>
  <c r="M142" i="6" l="1"/>
  <c r="O142" i="6"/>
  <c r="K143" i="6" s="1"/>
  <c r="J143" i="6" l="1"/>
  <c r="M143" i="6" l="1"/>
  <c r="O143" i="6"/>
  <c r="K144" i="6" s="1"/>
  <c r="J144" i="6" l="1"/>
  <c r="M144" i="6" l="1"/>
  <c r="O144" i="6"/>
  <c r="K145" i="6" s="1"/>
  <c r="J145" i="6" l="1"/>
  <c r="M145" i="6" l="1"/>
  <c r="O145" i="6"/>
  <c r="K146" i="6" s="1"/>
  <c r="J146" i="6" l="1"/>
  <c r="M146" i="6" l="1"/>
  <c r="O146" i="6"/>
  <c r="K147" i="6" s="1"/>
  <c r="J147" i="6" l="1"/>
  <c r="M147" i="6" l="1"/>
  <c r="O147" i="6"/>
  <c r="K148" i="6" s="1"/>
  <c r="J148" i="6" l="1"/>
  <c r="M148" i="6" l="1"/>
  <c r="O148" i="6"/>
  <c r="K149" i="6" s="1"/>
  <c r="J149" i="6" l="1"/>
  <c r="M149" i="6" l="1"/>
  <c r="O149" i="6"/>
  <c r="K150" i="6" s="1"/>
  <c r="J150" i="6" l="1"/>
  <c r="M150" i="6" l="1"/>
  <c r="O150" i="6"/>
  <c r="K151" i="6" s="1"/>
  <c r="J151" i="6" l="1"/>
  <c r="M151" i="6" l="1"/>
  <c r="O151" i="6"/>
  <c r="K152" i="6" s="1"/>
  <c r="J152" i="6" l="1"/>
  <c r="M152" i="6" l="1"/>
  <c r="O152" i="6"/>
  <c r="K153" i="6" s="1"/>
  <c r="J153" i="6" l="1"/>
  <c r="M153" i="6" l="1"/>
  <c r="O153" i="6"/>
  <c r="K154" i="6" s="1"/>
  <c r="J154" i="6" l="1"/>
  <c r="M154" i="6" l="1"/>
  <c r="O154" i="6"/>
  <c r="K155" i="6" s="1"/>
  <c r="J155" i="6" l="1"/>
  <c r="M155" i="6" l="1"/>
  <c r="O155" i="6"/>
  <c r="K156" i="6" s="1"/>
  <c r="J156" i="6" l="1"/>
  <c r="M156" i="6" l="1"/>
  <c r="O156" i="6"/>
  <c r="K157" i="6" s="1"/>
  <c r="J157" i="6" l="1"/>
  <c r="M157" i="6" l="1"/>
  <c r="O157" i="6"/>
  <c r="K158" i="6" s="1"/>
  <c r="J158" i="6" l="1"/>
  <c r="M158" i="6" l="1"/>
  <c r="O158" i="6"/>
  <c r="K159" i="6" s="1"/>
  <c r="J159" i="6" l="1"/>
  <c r="M159" i="6" l="1"/>
  <c r="O159" i="6"/>
  <c r="K160" i="6" s="1"/>
  <c r="J160" i="6" l="1"/>
  <c r="M160" i="6" l="1"/>
  <c r="O160" i="6"/>
  <c r="K161" i="6" s="1"/>
  <c r="J161" i="6" l="1"/>
  <c r="M161" i="6" l="1"/>
  <c r="O161" i="6"/>
  <c r="K162" i="6" s="1"/>
  <c r="J162" i="6" l="1"/>
  <c r="M162" i="6" l="1"/>
  <c r="O162" i="6"/>
  <c r="K163" i="6" s="1"/>
  <c r="J163" i="6" l="1"/>
  <c r="M163" i="6" l="1"/>
  <c r="O163" i="6"/>
  <c r="K164" i="6" s="1"/>
  <c r="J164" i="6" l="1"/>
  <c r="M164" i="6" l="1"/>
  <c r="O164" i="6"/>
  <c r="K165" i="6" s="1"/>
  <c r="J165" i="6" l="1"/>
  <c r="M165" i="6" l="1"/>
  <c r="O165" i="6"/>
  <c r="K166" i="6" s="1"/>
  <c r="J166" i="6" l="1"/>
  <c r="M166" i="6" l="1"/>
  <c r="O166" i="6"/>
  <c r="K167" i="6" s="1"/>
  <c r="J167" i="6" l="1"/>
  <c r="M167" i="6" l="1"/>
  <c r="O167" i="6"/>
  <c r="K168" i="6" s="1"/>
  <c r="J168" i="6" l="1"/>
  <c r="M168" i="6" l="1"/>
  <c r="O168" i="6"/>
  <c r="K169" i="6" s="1"/>
  <c r="J169" i="6" l="1"/>
  <c r="M169" i="6" l="1"/>
  <c r="O169" i="6"/>
  <c r="K170" i="6" s="1"/>
  <c r="J170" i="6" l="1"/>
  <c r="M170" i="6" l="1"/>
  <c r="O170" i="6"/>
  <c r="K171" i="6" s="1"/>
  <c r="J171" i="6" l="1"/>
  <c r="M171" i="6" l="1"/>
  <c r="O171" i="6"/>
  <c r="K172" i="6" s="1"/>
  <c r="J172" i="6" l="1"/>
  <c r="M172" i="6" l="1"/>
  <c r="O172" i="6"/>
  <c r="K173" i="6" s="1"/>
  <c r="J173" i="6" l="1"/>
  <c r="M173" i="6" l="1"/>
  <c r="O173" i="6"/>
  <c r="K174" i="6" s="1"/>
  <c r="J174" i="6" l="1"/>
  <c r="M174" i="6" l="1"/>
  <c r="O174" i="6"/>
  <c r="K175" i="6" s="1"/>
  <c r="J175" i="6" l="1"/>
  <c r="M175" i="6" l="1"/>
  <c r="O175" i="6"/>
  <c r="K176" i="6" s="1"/>
  <c r="J176" i="6" l="1"/>
  <c r="M176" i="6" l="1"/>
  <c r="O176" i="6"/>
  <c r="K177" i="6" s="1"/>
  <c r="J177" i="6" l="1"/>
  <c r="M177" i="6" l="1"/>
  <c r="O177" i="6"/>
  <c r="K178" i="6" s="1"/>
  <c r="J178" i="6" l="1"/>
  <c r="M178" i="6" l="1"/>
  <c r="O178" i="6"/>
  <c r="K179" i="6" s="1"/>
  <c r="J179" i="6" l="1"/>
  <c r="M179" i="6" l="1"/>
  <c r="O179" i="6"/>
  <c r="K180" i="6" s="1"/>
  <c r="J180" i="6" l="1"/>
  <c r="M180" i="6" l="1"/>
  <c r="O180" i="6"/>
  <c r="K181" i="6" s="1"/>
  <c r="J181" i="6" l="1"/>
  <c r="M181" i="6" l="1"/>
  <c r="O181" i="6"/>
  <c r="K182" i="6" s="1"/>
  <c r="J182" i="6" l="1"/>
  <c r="M182" i="6" l="1"/>
  <c r="O182" i="6"/>
  <c r="K183" i="6" s="1"/>
  <c r="J183" i="6" l="1"/>
  <c r="M183" i="6" l="1"/>
  <c r="O183" i="6"/>
  <c r="K184" i="6" s="1"/>
  <c r="J184" i="6" l="1"/>
  <c r="M184" i="6" l="1"/>
  <c r="O184" i="6"/>
  <c r="K185" i="6" s="1"/>
  <c r="J185" i="6" l="1"/>
  <c r="M185" i="6" l="1"/>
  <c r="O185" i="6"/>
  <c r="K186" i="6" s="1"/>
  <c r="J186" i="6" l="1"/>
  <c r="M186" i="6" l="1"/>
  <c r="O186" i="6"/>
  <c r="K187" i="6" s="1"/>
  <c r="J187" i="6" l="1"/>
  <c r="M187" i="6" l="1"/>
  <c r="O187" i="6"/>
  <c r="K188" i="6" s="1"/>
  <c r="J188" i="6" l="1"/>
  <c r="M188" i="6" l="1"/>
  <c r="O188" i="6"/>
  <c r="K189" i="6" s="1"/>
  <c r="J189" i="6" l="1"/>
  <c r="M189" i="6" l="1"/>
  <c r="O189" i="6"/>
  <c r="K190" i="6" s="1"/>
  <c r="J190" i="6" l="1"/>
  <c r="M190" i="6" l="1"/>
  <c r="O190" i="6"/>
  <c r="K191" i="6" s="1"/>
  <c r="J191" i="6" l="1"/>
  <c r="M191" i="6" l="1"/>
  <c r="O191" i="6"/>
  <c r="K192" i="6" s="1"/>
  <c r="J192" i="6" l="1"/>
  <c r="M192" i="6" l="1"/>
  <c r="O192" i="6"/>
  <c r="K193" i="6" s="1"/>
  <c r="J193" i="6" l="1"/>
  <c r="M193" i="6" l="1"/>
  <c r="O193" i="6"/>
  <c r="K194" i="6" s="1"/>
  <c r="J194" i="6" l="1"/>
  <c r="M194" i="6" l="1"/>
  <c r="O194" i="6"/>
  <c r="K195" i="6" s="1"/>
  <c r="J195" i="6" l="1"/>
  <c r="M195" i="6" l="1"/>
  <c r="O195" i="6"/>
  <c r="K196" i="6" s="1"/>
  <c r="J196" i="6" l="1"/>
  <c r="M196" i="6" l="1"/>
  <c r="O196" i="6"/>
  <c r="K197" i="6" s="1"/>
  <c r="J197" i="6" l="1"/>
  <c r="M197" i="6" l="1"/>
  <c r="O197" i="6"/>
  <c r="K198" i="6" s="1"/>
  <c r="J198" i="6" l="1"/>
  <c r="M198" i="6" l="1"/>
  <c r="O198" i="6"/>
  <c r="K199" i="6" s="1"/>
  <c r="J199" i="6" l="1"/>
  <c r="M199" i="6" l="1"/>
  <c r="O199" i="6"/>
  <c r="K200" i="6" s="1"/>
  <c r="J200" i="6" l="1"/>
  <c r="M200" i="6" l="1"/>
  <c r="O200" i="6"/>
  <c r="K201" i="6" s="1"/>
  <c r="J201" i="6" l="1"/>
  <c r="M201" i="6" l="1"/>
  <c r="O201" i="6"/>
  <c r="K202" i="6" s="1"/>
  <c r="J202" i="6" l="1"/>
  <c r="M202" i="6" l="1"/>
  <c r="O202" i="6"/>
  <c r="K203" i="6" s="1"/>
  <c r="J203" i="6" l="1"/>
  <c r="M203" i="6" l="1"/>
  <c r="O203" i="6"/>
  <c r="K204" i="6" s="1"/>
  <c r="J204" i="6" l="1"/>
  <c r="M204" i="6" l="1"/>
  <c r="O204" i="6"/>
  <c r="K205" i="6" s="1"/>
  <c r="J205" i="6" l="1"/>
  <c r="M205" i="6" l="1"/>
  <c r="O205" i="6"/>
  <c r="K206" i="6" s="1"/>
  <c r="J206" i="6" l="1"/>
  <c r="M206" i="6" l="1"/>
  <c r="O206" i="6"/>
  <c r="K207" i="6" s="1"/>
  <c r="J207" i="6" l="1"/>
  <c r="M207" i="6" l="1"/>
  <c r="O207" i="6"/>
  <c r="K208" i="6" s="1"/>
  <c r="J208" i="6" l="1"/>
  <c r="M208" i="6" l="1"/>
  <c r="O208" i="6"/>
  <c r="K209" i="6" s="1"/>
  <c r="J209" i="6" l="1"/>
  <c r="M209" i="6" l="1"/>
  <c r="O209" i="6"/>
  <c r="K210" i="6" s="1"/>
  <c r="J210" i="6" l="1"/>
  <c r="M210" i="6" l="1"/>
  <c r="O210" i="6"/>
  <c r="K211" i="6" s="1"/>
  <c r="J211" i="6" l="1"/>
  <c r="M211" i="6" l="1"/>
  <c r="O211" i="6"/>
  <c r="K212" i="6" s="1"/>
  <c r="J212" i="6" l="1"/>
  <c r="M212" i="6" l="1"/>
  <c r="O212" i="6"/>
  <c r="K213" i="6" s="1"/>
  <c r="J213" i="6" l="1"/>
  <c r="M213" i="6" l="1"/>
  <c r="O213" i="6"/>
  <c r="K214" i="6" s="1"/>
  <c r="J214" i="6" l="1"/>
  <c r="M214" i="6" l="1"/>
  <c r="O214" i="6"/>
  <c r="K215" i="6" s="1"/>
  <c r="J215" i="6" l="1"/>
  <c r="M215" i="6" l="1"/>
  <c r="O215" i="6"/>
  <c r="K216" i="6" s="1"/>
  <c r="J216" i="6" l="1"/>
  <c r="M216" i="6" l="1"/>
  <c r="O216" i="6"/>
  <c r="K217" i="6" s="1"/>
  <c r="J217" i="6" l="1"/>
  <c r="M217" i="6" l="1"/>
  <c r="O217" i="6"/>
  <c r="K218" i="6" s="1"/>
  <c r="J218" i="6" l="1"/>
  <c r="M218" i="6" l="1"/>
  <c r="O218" i="6"/>
  <c r="K219" i="6" s="1"/>
  <c r="J219" i="6" l="1"/>
  <c r="M219" i="6" l="1"/>
  <c r="O219" i="6"/>
  <c r="K220" i="6" s="1"/>
  <c r="J220" i="6" l="1"/>
  <c r="M220" i="6" l="1"/>
  <c r="O220" i="6"/>
  <c r="K221" i="6" s="1"/>
  <c r="J221" i="6" l="1"/>
  <c r="M221" i="6" l="1"/>
  <c r="O221" i="6"/>
  <c r="K222" i="6" s="1"/>
  <c r="J222" i="6" l="1"/>
  <c r="M222" i="6" l="1"/>
  <c r="O222" i="6"/>
  <c r="K223" i="6" s="1"/>
  <c r="J223" i="6" l="1"/>
  <c r="M223" i="6" l="1"/>
  <c r="O223" i="6"/>
  <c r="K224" i="6" s="1"/>
  <c r="J224" i="6" l="1"/>
  <c r="M224" i="6" l="1"/>
  <c r="O224" i="6"/>
  <c r="K225" i="6" s="1"/>
  <c r="J225" i="6" l="1"/>
  <c r="M225" i="6" l="1"/>
  <c r="O225" i="6"/>
  <c r="K226" i="6" s="1"/>
  <c r="J226" i="6" l="1"/>
  <c r="M226" i="6" l="1"/>
  <c r="O226" i="6"/>
  <c r="K227" i="6" s="1"/>
  <c r="J227" i="6" l="1"/>
  <c r="M227" i="6" l="1"/>
  <c r="O227" i="6"/>
  <c r="K228" i="6" s="1"/>
  <c r="J228" i="6" l="1"/>
  <c r="M228" i="6" l="1"/>
  <c r="O228" i="6"/>
  <c r="K229" i="6" s="1"/>
  <c r="J229" i="6" l="1"/>
  <c r="M229" i="6" l="1"/>
  <c r="O229" i="6"/>
  <c r="K230" i="6" s="1"/>
  <c r="J230" i="6" l="1"/>
  <c r="M230" i="6" l="1"/>
  <c r="O230" i="6"/>
  <c r="K231" i="6" s="1"/>
  <c r="J231" i="6" l="1"/>
  <c r="M231" i="6" l="1"/>
  <c r="O231" i="6"/>
  <c r="K232" i="6" s="1"/>
  <c r="J232" i="6" l="1"/>
  <c r="M232" i="6" l="1"/>
  <c r="O232" i="6"/>
  <c r="K233" i="6" s="1"/>
  <c r="J233" i="6" l="1"/>
  <c r="M233" i="6" l="1"/>
  <c r="O233" i="6"/>
  <c r="K234" i="6" s="1"/>
  <c r="J234" i="6" l="1"/>
  <c r="M234" i="6" l="1"/>
  <c r="O234" i="6"/>
  <c r="K235" i="6" s="1"/>
  <c r="J235" i="6" l="1"/>
  <c r="M235" i="6" l="1"/>
  <c r="O235" i="6"/>
  <c r="K236" i="6" s="1"/>
  <c r="J236" i="6" l="1"/>
  <c r="M236" i="6" l="1"/>
  <c r="O236" i="6"/>
  <c r="K237" i="6" s="1"/>
  <c r="J237" i="6" l="1"/>
  <c r="M237" i="6" l="1"/>
  <c r="O237" i="6"/>
  <c r="K238" i="6" s="1"/>
  <c r="J238" i="6" l="1"/>
  <c r="M238" i="6" l="1"/>
  <c r="O238" i="6"/>
  <c r="K239" i="6" s="1"/>
  <c r="J239" i="6" l="1"/>
  <c r="M239" i="6" l="1"/>
  <c r="O239" i="6"/>
  <c r="K240" i="6" s="1"/>
  <c r="J240" i="6" l="1"/>
  <c r="M240" i="6" l="1"/>
  <c r="O240" i="6"/>
  <c r="K241" i="6" s="1"/>
  <c r="J241" i="6" l="1"/>
  <c r="M241" i="6" l="1"/>
  <c r="O241" i="6"/>
  <c r="K242" i="6" s="1"/>
  <c r="J242" i="6" l="1"/>
  <c r="M242" i="6" l="1"/>
  <c r="O242" i="6"/>
  <c r="K243" i="6" s="1"/>
  <c r="J243" i="6" l="1"/>
  <c r="M243" i="6" l="1"/>
  <c r="O243" i="6"/>
  <c r="K244" i="6" s="1"/>
  <c r="J244" i="6" l="1"/>
  <c r="M244" i="6" l="1"/>
  <c r="O244" i="6"/>
  <c r="K245" i="6" s="1"/>
  <c r="K246" i="6" s="1"/>
  <c r="J245" i="6" l="1"/>
  <c r="M245" i="6" l="1"/>
  <c r="M246" i="6" s="1"/>
  <c r="J246" i="6"/>
  <c r="O245" i="6"/>
  <c r="O246" i="6" l="1"/>
  <c r="O247" i="6" s="1"/>
  <c r="O248" i="6" s="1"/>
  <c r="R9" i="11" l="1"/>
  <c r="P2" i="11"/>
  <c r="E21" i="11" s="1"/>
  <c r="N2" i="11" l="1"/>
  <c r="L3" i="11"/>
  <c r="Q50" i="11"/>
  <c r="Q49" i="11" l="1"/>
  <c r="Q48" i="11" s="1"/>
  <c r="Q47" i="11" s="1"/>
  <c r="AN39" i="11" l="1"/>
  <c r="AN81" i="11"/>
  <c r="AN82" i="11"/>
  <c r="AN64" i="11"/>
  <c r="AN85" i="11"/>
  <c r="AN37" i="11"/>
  <c r="AN42" i="11"/>
  <c r="AN87" i="11"/>
  <c r="AN19" i="11"/>
  <c r="AN36" i="11"/>
  <c r="AN68" i="11"/>
  <c r="AN10" i="11"/>
  <c r="AN75" i="11"/>
  <c r="AN78" i="11"/>
  <c r="AN48" i="11"/>
  <c r="AN9" i="11"/>
  <c r="AN52" i="11"/>
  <c r="BC19" i="11"/>
  <c r="BT3" i="11" s="1"/>
  <c r="BR4" i="11" s="1"/>
  <c r="AN54" i="11"/>
  <c r="AN21" i="11"/>
  <c r="AN33" i="11"/>
  <c r="AN4" i="11"/>
  <c r="AN67" i="11"/>
  <c r="AN56" i="11"/>
  <c r="AN17" i="11"/>
  <c r="AN53" i="11"/>
  <c r="AN83" i="11"/>
  <c r="AN62" i="11"/>
  <c r="AN73" i="11"/>
  <c r="AN23" i="11"/>
  <c r="AN80" i="11"/>
  <c r="AN29" i="11"/>
  <c r="AN49" i="11"/>
  <c r="AN18" i="11"/>
  <c r="AN60" i="11"/>
  <c r="AN58" i="11"/>
  <c r="AN46" i="11"/>
  <c r="AA3" i="11"/>
  <c r="AN86" i="11"/>
  <c r="AN77" i="11"/>
  <c r="AN5" i="11"/>
  <c r="AN51" i="11"/>
  <c r="AN55" i="11"/>
  <c r="AN24" i="11"/>
  <c r="AN57" i="11"/>
  <c r="AN11" i="11"/>
  <c r="AN45" i="11"/>
  <c r="AN6" i="11"/>
  <c r="AN65" i="11"/>
  <c r="AN50" i="11"/>
  <c r="AN16" i="11"/>
  <c r="AN74" i="11"/>
  <c r="AN28" i="11"/>
  <c r="AN47" i="11"/>
  <c r="AN27" i="11"/>
  <c r="AN22" i="11"/>
  <c r="AN12" i="11"/>
  <c r="AN89" i="11"/>
  <c r="AN66" i="11"/>
  <c r="AN40" i="11"/>
  <c r="AN34" i="11"/>
  <c r="AN14" i="11"/>
  <c r="AN76" i="11"/>
  <c r="BU3" i="11"/>
  <c r="AN43" i="11"/>
  <c r="AN79" i="11"/>
  <c r="AN32" i="11"/>
  <c r="AN72" i="11"/>
  <c r="AN84" i="11"/>
  <c r="AN61" i="11"/>
  <c r="AN41" i="11"/>
  <c r="AN15" i="11"/>
  <c r="AN31" i="11"/>
  <c r="AN59" i="11"/>
  <c r="E1" i="7"/>
  <c r="E4" i="7" s="1"/>
  <c r="L80" i="7" s="1"/>
  <c r="AN7" i="11"/>
  <c r="AN88" i="11"/>
  <c r="AN70" i="11"/>
  <c r="AE4" i="11"/>
  <c r="BL88" i="11" s="1"/>
  <c r="AN38" i="11"/>
  <c r="AU3" i="11"/>
  <c r="AN44" i="11"/>
  <c r="AN30" i="11"/>
  <c r="AN8" i="11"/>
  <c r="AN26" i="11"/>
  <c r="AN13" i="11"/>
  <c r="AN20" i="11"/>
  <c r="AN35" i="11"/>
  <c r="AN63" i="11"/>
  <c r="AN71" i="11"/>
  <c r="AN25" i="11"/>
  <c r="AN69" i="11"/>
  <c r="L93" i="7"/>
  <c r="L94" i="7"/>
  <c r="L95" i="7"/>
  <c r="L116" i="7"/>
  <c r="L92" i="7" l="1"/>
  <c r="L91" i="7"/>
  <c r="L200" i="7"/>
  <c r="L199" i="7"/>
  <c r="L198" i="7"/>
  <c r="L192" i="7"/>
  <c r="L160" i="7"/>
  <c r="L159" i="7"/>
  <c r="L193" i="7"/>
  <c r="L158" i="7"/>
  <c r="L217" i="7"/>
  <c r="L142" i="7"/>
  <c r="L156" i="7"/>
  <c r="L216" i="7"/>
  <c r="L137" i="7"/>
  <c r="L157" i="7"/>
  <c r="L215" i="7"/>
  <c r="L136" i="7"/>
  <c r="L240" i="7"/>
  <c r="L214" i="7"/>
  <c r="L135" i="7"/>
  <c r="L120" i="7"/>
  <c r="L119" i="7"/>
  <c r="L235" i="7"/>
  <c r="L178" i="7"/>
  <c r="L134" i="7"/>
  <c r="L118" i="7"/>
  <c r="L234" i="7"/>
  <c r="L177" i="7"/>
  <c r="L233" i="7"/>
  <c r="L176" i="7"/>
  <c r="L232" i="7"/>
  <c r="L175" i="7"/>
  <c r="L218" i="7"/>
  <c r="L174" i="7"/>
  <c r="L117" i="7"/>
  <c r="L230" i="7"/>
  <c r="L212" i="7"/>
  <c r="L190" i="7"/>
  <c r="L172" i="7"/>
  <c r="L150" i="7"/>
  <c r="L132" i="7"/>
  <c r="L114" i="7"/>
  <c r="L173" i="7"/>
  <c r="L133" i="7"/>
  <c r="L229" i="7"/>
  <c r="L171" i="7"/>
  <c r="L149" i="7"/>
  <c r="L109" i="7"/>
  <c r="L246" i="7"/>
  <c r="L228" i="7"/>
  <c r="L206" i="7"/>
  <c r="L188" i="7"/>
  <c r="L170" i="7"/>
  <c r="L148" i="7"/>
  <c r="L130" i="7"/>
  <c r="L108" i="7"/>
  <c r="L244" i="7"/>
  <c r="L226" i="7"/>
  <c r="L204" i="7"/>
  <c r="L186" i="7"/>
  <c r="L164" i="7"/>
  <c r="L146" i="7"/>
  <c r="L128" i="7"/>
  <c r="L106" i="7"/>
  <c r="L191" i="7"/>
  <c r="L151" i="7"/>
  <c r="L247" i="7"/>
  <c r="L189" i="7"/>
  <c r="L245" i="7"/>
  <c r="L187" i="7"/>
  <c r="L107" i="7"/>
  <c r="L243" i="7"/>
  <c r="L221" i="7"/>
  <c r="L203" i="7"/>
  <c r="L185" i="7"/>
  <c r="L163" i="7"/>
  <c r="L145" i="7"/>
  <c r="L123" i="7"/>
  <c r="L104" i="7"/>
  <c r="L213" i="7"/>
  <c r="L115" i="7"/>
  <c r="L205" i="7"/>
  <c r="L242" i="7"/>
  <c r="L220" i="7"/>
  <c r="L202" i="7"/>
  <c r="L184" i="7"/>
  <c r="L162" i="7"/>
  <c r="L144" i="7"/>
  <c r="L122" i="7"/>
  <c r="L103" i="7"/>
  <c r="L231" i="7"/>
  <c r="L90" i="7"/>
  <c r="L207" i="7"/>
  <c r="L131" i="7"/>
  <c r="L227" i="7"/>
  <c r="L165" i="7"/>
  <c r="L147" i="7"/>
  <c r="L129" i="7"/>
  <c r="L241" i="7"/>
  <c r="L219" i="7"/>
  <c r="L201" i="7"/>
  <c r="L179" i="7"/>
  <c r="L161" i="7"/>
  <c r="L143" i="7"/>
  <c r="L121" i="7"/>
  <c r="L102" i="7"/>
  <c r="L105" i="7"/>
  <c r="L101" i="7"/>
  <c r="L100" i="7"/>
  <c r="L239" i="7"/>
  <c r="L225" i="7"/>
  <c r="L211" i="7"/>
  <c r="L197" i="7"/>
  <c r="L183" i="7"/>
  <c r="L169" i="7"/>
  <c r="L155" i="7"/>
  <c r="L141" i="7"/>
  <c r="L127" i="7"/>
  <c r="L113" i="7"/>
  <c r="L99" i="7"/>
  <c r="L238" i="7"/>
  <c r="L224" i="7"/>
  <c r="L210" i="7"/>
  <c r="L196" i="7"/>
  <c r="L182" i="7"/>
  <c r="L168" i="7"/>
  <c r="L154" i="7"/>
  <c r="L140" i="7"/>
  <c r="L126" i="7"/>
  <c r="L112" i="7"/>
  <c r="L98" i="7"/>
  <c r="L237" i="7"/>
  <c r="L223" i="7"/>
  <c r="L209" i="7"/>
  <c r="L195" i="7"/>
  <c r="L181" i="7"/>
  <c r="L167" i="7"/>
  <c r="L153" i="7"/>
  <c r="L139" i="7"/>
  <c r="L125" i="7"/>
  <c r="L111" i="7"/>
  <c r="L97" i="7"/>
  <c r="L236" i="7"/>
  <c r="L222" i="7"/>
  <c r="L208" i="7"/>
  <c r="L194" i="7"/>
  <c r="L180" i="7"/>
  <c r="L166" i="7"/>
  <c r="L152" i="7"/>
  <c r="L138" i="7"/>
  <c r="L124" i="7"/>
  <c r="L110" i="7"/>
  <c r="L96" i="7"/>
  <c r="L66" i="7"/>
  <c r="BC30" i="11"/>
  <c r="BQ4" i="11" s="1"/>
  <c r="AP4" i="11"/>
  <c r="AR4" i="11" s="1"/>
  <c r="L78" i="7"/>
  <c r="L50" i="7"/>
  <c r="B1" i="7"/>
  <c r="L47" i="7"/>
  <c r="B2" i="7"/>
  <c r="L59" i="7"/>
  <c r="BL4" i="11"/>
  <c r="L10" i="7"/>
  <c r="L67" i="7"/>
  <c r="L84" i="7"/>
  <c r="AG84" i="11"/>
  <c r="L45" i="7"/>
  <c r="L8" i="7"/>
  <c r="C1" i="7"/>
  <c r="C6" i="7" s="1"/>
  <c r="L44" i="7"/>
  <c r="L46" i="7"/>
  <c r="L16" i="7"/>
  <c r="L58" i="7"/>
  <c r="L30" i="7"/>
  <c r="L64" i="7"/>
  <c r="L75" i="7"/>
  <c r="L13" i="7"/>
  <c r="L24" i="7"/>
  <c r="L51" i="7"/>
  <c r="L28" i="7"/>
  <c r="L21" i="7"/>
  <c r="L26" i="7"/>
  <c r="L5" i="7"/>
  <c r="L42" i="7"/>
  <c r="L23" i="7"/>
  <c r="L71" i="7"/>
  <c r="L60" i="7"/>
  <c r="L15" i="7"/>
  <c r="L73" i="7"/>
  <c r="L33" i="7"/>
  <c r="L25" i="7"/>
  <c r="L74" i="7"/>
  <c r="L52" i="7"/>
  <c r="L48" i="7"/>
  <c r="L36" i="7"/>
  <c r="L72" i="7"/>
  <c r="L6" i="7"/>
  <c r="L68" i="7"/>
  <c r="L34" i="7"/>
  <c r="L12" i="7"/>
  <c r="L22" i="7"/>
  <c r="L61" i="7"/>
  <c r="L49" i="7"/>
  <c r="L56" i="7"/>
  <c r="L76" i="7"/>
  <c r="L19" i="7"/>
  <c r="L9" i="7"/>
  <c r="L11" i="7"/>
  <c r="L14" i="7"/>
  <c r="L38" i="7"/>
  <c r="L43" i="7"/>
  <c r="L35" i="7"/>
  <c r="L57" i="7"/>
  <c r="L63" i="7"/>
  <c r="L54" i="7"/>
  <c r="L62" i="7"/>
  <c r="L55" i="7"/>
  <c r="L20" i="7"/>
  <c r="L18" i="7"/>
  <c r="L69" i="7"/>
  <c r="L27" i="7"/>
  <c r="L31" i="7"/>
  <c r="L86" i="7"/>
  <c r="L37" i="7"/>
  <c r="L7" i="7"/>
  <c r="L70" i="7"/>
  <c r="L32" i="7"/>
  <c r="L39" i="7"/>
  <c r="L40" i="7"/>
  <c r="L85" i="7"/>
  <c r="L82" i="7"/>
  <c r="L79" i="7"/>
  <c r="C3" i="7"/>
  <c r="L87" i="7"/>
  <c r="O4" i="7"/>
  <c r="AN90" i="11"/>
  <c r="C2" i="7"/>
  <c r="L83" i="7"/>
  <c r="K5" i="7"/>
  <c r="I5" i="7" s="1"/>
  <c r="J5" i="7" s="1"/>
  <c r="L81" i="7"/>
  <c r="L88" i="7"/>
  <c r="Y6" i="7"/>
  <c r="Q4" i="7" s="1"/>
  <c r="U14" i="7" s="1"/>
  <c r="AT5" i="11"/>
  <c r="AE62" i="11"/>
  <c r="AE70" i="11"/>
  <c r="AG25" i="11"/>
  <c r="AG75" i="11"/>
  <c r="AG48" i="11"/>
  <c r="AE36" i="11"/>
  <c r="AE27" i="11"/>
  <c r="AE31" i="11"/>
  <c r="AG49" i="11"/>
  <c r="AE11" i="11"/>
  <c r="AE24" i="11"/>
  <c r="AG30" i="11"/>
  <c r="AE79" i="11"/>
  <c r="AE8" i="11"/>
  <c r="AE53" i="11"/>
  <c r="AG67" i="11"/>
  <c r="AG83" i="11"/>
  <c r="AG53" i="11"/>
  <c r="AE55" i="11"/>
  <c r="AG73" i="11"/>
  <c r="AG18" i="11"/>
  <c r="AG10" i="11"/>
  <c r="AE78" i="11"/>
  <c r="AG64" i="11"/>
  <c r="AE72" i="11"/>
  <c r="AE63" i="11"/>
  <c r="AG47" i="11"/>
  <c r="AE15" i="11"/>
  <c r="AE86" i="11"/>
  <c r="AG24" i="11"/>
  <c r="AE30" i="11"/>
  <c r="AE20" i="11"/>
  <c r="AE13" i="11"/>
  <c r="AG46" i="11"/>
  <c r="AG69" i="11"/>
  <c r="AG13" i="11"/>
  <c r="AE76" i="11"/>
  <c r="AE81" i="11"/>
  <c r="AE26" i="11"/>
  <c r="AG54" i="11"/>
  <c r="AE54" i="11"/>
  <c r="AE6" i="11"/>
  <c r="AG20" i="11"/>
  <c r="AG38" i="11"/>
  <c r="AG62" i="11"/>
  <c r="AG5" i="11"/>
  <c r="AE29" i="11"/>
  <c r="AE66" i="11"/>
  <c r="AG82" i="11"/>
  <c r="AG76" i="11"/>
  <c r="AG14" i="11"/>
  <c r="AG59" i="11"/>
  <c r="AG86" i="11"/>
  <c r="AG12" i="11"/>
  <c r="AG61" i="11"/>
  <c r="AE43" i="11"/>
  <c r="AG51" i="11"/>
  <c r="AG71" i="11"/>
  <c r="AE44" i="11"/>
  <c r="AE82" i="11"/>
  <c r="AE74" i="11"/>
  <c r="AG8" i="11"/>
  <c r="AG45" i="11"/>
  <c r="AE47" i="11"/>
  <c r="AG27" i="11"/>
  <c r="AE16" i="11"/>
  <c r="AG31" i="11"/>
  <c r="AE12" i="11"/>
  <c r="AG65" i="11"/>
  <c r="AG81" i="11"/>
  <c r="AE35" i="11"/>
  <c r="AE85" i="11"/>
  <c r="AE60" i="11"/>
  <c r="AE71" i="11"/>
  <c r="AE64" i="11"/>
  <c r="AE14" i="11"/>
  <c r="AG28" i="11"/>
  <c r="AE40" i="11"/>
  <c r="AE49" i="11"/>
  <c r="AE42" i="11"/>
  <c r="AG52" i="11"/>
  <c r="AG43" i="11"/>
  <c r="AG55" i="11"/>
  <c r="AE87" i="11"/>
  <c r="AE48" i="11"/>
  <c r="AE7" i="11"/>
  <c r="AG11" i="11"/>
  <c r="AE73" i="11"/>
  <c r="AE46" i="11"/>
  <c r="AE67" i="11"/>
  <c r="AE25" i="11"/>
  <c r="AE37" i="11"/>
  <c r="AG68" i="11"/>
  <c r="AG26" i="11"/>
  <c r="AG63" i="11"/>
  <c r="AE80" i="11"/>
  <c r="AG21" i="11"/>
  <c r="AE9" i="11"/>
  <c r="AE21" i="11"/>
  <c r="AG7" i="11"/>
  <c r="AE59" i="11"/>
  <c r="AE23" i="11"/>
  <c r="AG19" i="11"/>
  <c r="AG77" i="11"/>
  <c r="AG56" i="11"/>
  <c r="AG41" i="11"/>
  <c r="AE17" i="11"/>
  <c r="AE10" i="11"/>
  <c r="AG66" i="11"/>
  <c r="AE50" i="11"/>
  <c r="AE19" i="11"/>
  <c r="AE38" i="11"/>
  <c r="AG4" i="11"/>
  <c r="AI4" i="11" s="1"/>
  <c r="AU4" i="11" s="1"/>
  <c r="AE18" i="11"/>
  <c r="AG36" i="11"/>
  <c r="AE52" i="11"/>
  <c r="AE33" i="11"/>
  <c r="AE51" i="11"/>
  <c r="AE58" i="11"/>
  <c r="AE28" i="11"/>
  <c r="AE61" i="11"/>
  <c r="AG15" i="11"/>
  <c r="AG22" i="11"/>
  <c r="AE77" i="11"/>
  <c r="AE57" i="11"/>
  <c r="AG35" i="11"/>
  <c r="AE22" i="11"/>
  <c r="AE69" i="11"/>
  <c r="AG70" i="11"/>
  <c r="AG78" i="11"/>
  <c r="AG50" i="11"/>
  <c r="AG17" i="11"/>
  <c r="AG42" i="11"/>
  <c r="AG72" i="11"/>
  <c r="AE75" i="11"/>
  <c r="AE65" i="11"/>
  <c r="AG16" i="11"/>
  <c r="AG85" i="11"/>
  <c r="AG44" i="11"/>
  <c r="AG39" i="11"/>
  <c r="AG58" i="11"/>
  <c r="AG87" i="11"/>
  <c r="AG33" i="11"/>
  <c r="AE68" i="11"/>
  <c r="AE45" i="11"/>
  <c r="AG74" i="11"/>
  <c r="AE34" i="11"/>
  <c r="AG9" i="11"/>
  <c r="AG57" i="11"/>
  <c r="AG6" i="11"/>
  <c r="AE5" i="11"/>
  <c r="AE32" i="11"/>
  <c r="AG79" i="11"/>
  <c r="AE39" i="11"/>
  <c r="AE41" i="11"/>
  <c r="AG60" i="11"/>
  <c r="AG29" i="11"/>
  <c r="AE83" i="11"/>
  <c r="AG80" i="11"/>
  <c r="AG32" i="11"/>
  <c r="AG23" i="11"/>
  <c r="AE56" i="11"/>
  <c r="AG34" i="11"/>
  <c r="AG37" i="11"/>
  <c r="AE84" i="11"/>
  <c r="AG40" i="11"/>
  <c r="L17" i="7"/>
  <c r="L29" i="7" s="1"/>
  <c r="B3" i="7" l="1"/>
  <c r="AI46" i="11"/>
  <c r="AA46" i="11" s="1"/>
  <c r="AI84" i="11"/>
  <c r="AA84" i="11" s="1"/>
  <c r="BS4" i="11"/>
  <c r="BJ4" i="11" s="1"/>
  <c r="D25" i="11" s="1"/>
  <c r="AI37" i="11"/>
  <c r="AA37" i="11" s="1"/>
  <c r="AI26" i="11"/>
  <c r="AU26" i="11" s="1"/>
  <c r="AI40" i="11"/>
  <c r="AU40" i="11" s="1"/>
  <c r="AI34" i="11"/>
  <c r="AA34" i="11" s="1"/>
  <c r="AI10" i="11"/>
  <c r="AA10" i="11" s="1"/>
  <c r="AI75" i="11"/>
  <c r="AU75" i="11" s="1"/>
  <c r="AI71" i="11"/>
  <c r="AA71" i="11" s="1"/>
  <c r="AI86" i="11"/>
  <c r="AU86" i="11" s="1"/>
  <c r="AI24" i="11"/>
  <c r="AU24" i="11" s="1"/>
  <c r="AI81" i="11"/>
  <c r="AA81" i="11" s="1"/>
  <c r="AI48" i="11"/>
  <c r="AA48" i="11" s="1"/>
  <c r="AI62" i="11"/>
  <c r="AU62" i="11" s="1"/>
  <c r="AI53" i="11"/>
  <c r="AU53" i="11" s="1"/>
  <c r="AI87" i="11"/>
  <c r="AA87" i="11" s="1"/>
  <c r="AI38" i="11"/>
  <c r="AU38" i="11" s="1"/>
  <c r="AI70" i="11"/>
  <c r="AU70" i="11" s="1"/>
  <c r="AI57" i="11"/>
  <c r="AA57" i="11" s="1"/>
  <c r="AI72" i="11"/>
  <c r="AU72" i="11" s="1"/>
  <c r="AI29" i="11"/>
  <c r="AU29" i="11" s="1"/>
  <c r="AI18" i="11"/>
  <c r="AU18" i="11" s="1"/>
  <c r="AI7" i="11"/>
  <c r="AU7" i="11" s="1"/>
  <c r="AI30" i="11"/>
  <c r="AU30" i="11" s="1"/>
  <c r="AI32" i="11"/>
  <c r="AA32" i="11" s="1"/>
  <c r="AI36" i="11"/>
  <c r="AU36" i="11" s="1"/>
  <c r="AI9" i="11"/>
  <c r="AU9" i="11" s="1"/>
  <c r="U15" i="7"/>
  <c r="AI79" i="11"/>
  <c r="AA79" i="11" s="1"/>
  <c r="AI44" i="11"/>
  <c r="AU44" i="11" s="1"/>
  <c r="AI69" i="11"/>
  <c r="AA69" i="11" s="1"/>
  <c r="AI47" i="11"/>
  <c r="AU47" i="11" s="1"/>
  <c r="AI6" i="11"/>
  <c r="AU6" i="11" s="1"/>
  <c r="AI16" i="11"/>
  <c r="AA16" i="11" s="1"/>
  <c r="AI51" i="11"/>
  <c r="AA51" i="11" s="1"/>
  <c r="AI52" i="11"/>
  <c r="AA52" i="11" s="1"/>
  <c r="AI41" i="11"/>
  <c r="AU41" i="11" s="1"/>
  <c r="AI25" i="11"/>
  <c r="AA25" i="11" s="1"/>
  <c r="AI55" i="11"/>
  <c r="AU55" i="11" s="1"/>
  <c r="AI56" i="11"/>
  <c r="AU56" i="11" s="1"/>
  <c r="AI60" i="11"/>
  <c r="AA60" i="11" s="1"/>
  <c r="AE88" i="11"/>
  <c r="AI5" i="11"/>
  <c r="AA5" i="11" s="1"/>
  <c r="AI59" i="11"/>
  <c r="AA59" i="11" s="1"/>
  <c r="AF4" i="9"/>
  <c r="AI68" i="11"/>
  <c r="AA68" i="11" s="1"/>
  <c r="AI28" i="11"/>
  <c r="AU28" i="11" s="1"/>
  <c r="AI42" i="11"/>
  <c r="AU42" i="11" s="1"/>
  <c r="AI85" i="11"/>
  <c r="AU85" i="11" s="1"/>
  <c r="AI43" i="11"/>
  <c r="AU43" i="11" s="1"/>
  <c r="AI66" i="11"/>
  <c r="AA66" i="11" s="1"/>
  <c r="AI63" i="11"/>
  <c r="AU63" i="11" s="1"/>
  <c r="AI11" i="11"/>
  <c r="AU11" i="11" s="1"/>
  <c r="AI8" i="11"/>
  <c r="AA8" i="11" s="1"/>
  <c r="AA4" i="11"/>
  <c r="AG88" i="11"/>
  <c r="Q5" i="7"/>
  <c r="AO4" i="9"/>
  <c r="AI80" i="11"/>
  <c r="AU80" i="11" s="1"/>
  <c r="AI49" i="11"/>
  <c r="AA49" i="11" s="1"/>
  <c r="AI65" i="11"/>
  <c r="AU65" i="11" s="1"/>
  <c r="AI13" i="11"/>
  <c r="AU13" i="11" s="1"/>
  <c r="AI12" i="11"/>
  <c r="AU12" i="11" s="1"/>
  <c r="AI74" i="11"/>
  <c r="AA74" i="11" s="1"/>
  <c r="AI33" i="11"/>
  <c r="AA33" i="11" s="1"/>
  <c r="AI58" i="11"/>
  <c r="AA58" i="11" s="1"/>
  <c r="AI67" i="11"/>
  <c r="AA67" i="11" s="1"/>
  <c r="AP5" i="11"/>
  <c r="AT6" i="11"/>
  <c r="AI19" i="11"/>
  <c r="AA19" i="11" s="1"/>
  <c r="AI35" i="11"/>
  <c r="AU35" i="11" s="1"/>
  <c r="AI50" i="11"/>
  <c r="AU50" i="11" s="1"/>
  <c r="AI78" i="11"/>
  <c r="AA78" i="11" s="1"/>
  <c r="AI23" i="11"/>
  <c r="AU23" i="11" s="1"/>
  <c r="AI27" i="11"/>
  <c r="AA27" i="11" s="1"/>
  <c r="AI17" i="11"/>
  <c r="AA17" i="11" s="1"/>
  <c r="AI21" i="11"/>
  <c r="AA21" i="11" s="1"/>
  <c r="AI64" i="11"/>
  <c r="AA64" i="11" s="1"/>
  <c r="AI31" i="11"/>
  <c r="AA31" i="11" s="1"/>
  <c r="AI14" i="11"/>
  <c r="AA14" i="11" s="1"/>
  <c r="AI20" i="11"/>
  <c r="AA20" i="11" s="1"/>
  <c r="AI15" i="11"/>
  <c r="AA15" i="11" s="1"/>
  <c r="AI73" i="11"/>
  <c r="AA73" i="11" s="1"/>
  <c r="AI76" i="11"/>
  <c r="AI45" i="11"/>
  <c r="AU45" i="11" s="1"/>
  <c r="AI82" i="11"/>
  <c r="AI54" i="11"/>
  <c r="AA54" i="11" s="1"/>
  <c r="AI77" i="11"/>
  <c r="AI83" i="11"/>
  <c r="AI22" i="11"/>
  <c r="AI61" i="11"/>
  <c r="AI39" i="11"/>
  <c r="L41" i="7"/>
  <c r="L53" i="7"/>
  <c r="BQ11" i="11"/>
  <c r="BQ19" i="11"/>
  <c r="BQ27" i="11"/>
  <c r="BQ35" i="11"/>
  <c r="BQ43" i="11"/>
  <c r="BQ51" i="11"/>
  <c r="BQ59" i="11"/>
  <c r="BQ67" i="11"/>
  <c r="BQ75" i="11"/>
  <c r="BQ83" i="11"/>
  <c r="BQ8" i="11"/>
  <c r="BQ12" i="11"/>
  <c r="BQ20" i="11"/>
  <c r="BQ28" i="11"/>
  <c r="BQ36" i="11"/>
  <c r="BQ44" i="11"/>
  <c r="BQ52" i="11"/>
  <c r="BQ60" i="11"/>
  <c r="BQ68" i="11"/>
  <c r="BQ76" i="11"/>
  <c r="BQ84" i="11"/>
  <c r="BQ25" i="11"/>
  <c r="BQ13" i="11"/>
  <c r="BQ21" i="11"/>
  <c r="BQ29" i="11"/>
  <c r="BQ37" i="11"/>
  <c r="BQ45" i="11"/>
  <c r="BQ53" i="11"/>
  <c r="BQ61" i="11"/>
  <c r="BQ69" i="11"/>
  <c r="BQ77" i="11"/>
  <c r="BQ85" i="11"/>
  <c r="BQ17" i="11"/>
  <c r="BQ41" i="11"/>
  <c r="BQ57" i="11"/>
  <c r="BQ73" i="11"/>
  <c r="BQ6" i="11"/>
  <c r="BQ14" i="11"/>
  <c r="BQ22" i="11"/>
  <c r="BQ30" i="11"/>
  <c r="BQ38" i="11"/>
  <c r="BQ46" i="11"/>
  <c r="BQ54" i="11"/>
  <c r="BQ62" i="11"/>
  <c r="BQ70" i="11"/>
  <c r="BQ78" i="11"/>
  <c r="BQ86" i="11"/>
  <c r="BQ15" i="11"/>
  <c r="BQ23" i="11"/>
  <c r="BQ31" i="11"/>
  <c r="BQ39" i="11"/>
  <c r="BQ47" i="11"/>
  <c r="BQ55" i="11"/>
  <c r="BQ63" i="11"/>
  <c r="BQ71" i="11"/>
  <c r="BQ79" i="11"/>
  <c r="BQ87" i="11"/>
  <c r="BQ16" i="11"/>
  <c r="BQ24" i="11"/>
  <c r="BQ32" i="11"/>
  <c r="BQ40" i="11"/>
  <c r="BQ48" i="11"/>
  <c r="BQ56" i="11"/>
  <c r="BQ64" i="11"/>
  <c r="BQ72" i="11"/>
  <c r="BQ80" i="11"/>
  <c r="BQ5" i="11"/>
  <c r="BQ10" i="11"/>
  <c r="BQ18" i="11"/>
  <c r="BQ26" i="11"/>
  <c r="BQ34" i="11"/>
  <c r="BQ42" i="11"/>
  <c r="BQ50" i="11"/>
  <c r="BQ58" i="11"/>
  <c r="BQ66" i="11"/>
  <c r="BQ74" i="11"/>
  <c r="BQ82" i="11"/>
  <c r="BQ7" i="11"/>
  <c r="BQ9" i="11"/>
  <c r="BQ33" i="11"/>
  <c r="BQ49" i="11"/>
  <c r="BQ65" i="11"/>
  <c r="BQ81" i="11"/>
  <c r="E25" i="11"/>
  <c r="M5" i="7"/>
  <c r="AM4" i="9"/>
  <c r="AS5" i="9" s="1"/>
  <c r="AD4" i="9"/>
  <c r="O5" i="7"/>
  <c r="AU37" i="11" l="1"/>
  <c r="AU46" i="11"/>
  <c r="AU84" i="11"/>
  <c r="BN4" i="11"/>
  <c r="AA26" i="11"/>
  <c r="AU48" i="11"/>
  <c r="AU10" i="11"/>
  <c r="AR5" i="11"/>
  <c r="AA40" i="11"/>
  <c r="AU34" i="11"/>
  <c r="AA24" i="11"/>
  <c r="AU71" i="11"/>
  <c r="AA53" i="11"/>
  <c r="AU87" i="11"/>
  <c r="AA75" i="11"/>
  <c r="AA6" i="11"/>
  <c r="AA7" i="11"/>
  <c r="AA62" i="11"/>
  <c r="AU81" i="11"/>
  <c r="AA86" i="11"/>
  <c r="AA29" i="11"/>
  <c r="AU59" i="11"/>
  <c r="AU16" i="11"/>
  <c r="AA70" i="11"/>
  <c r="AA38" i="11"/>
  <c r="AU57" i="11"/>
  <c r="AA42" i="11"/>
  <c r="AU51" i="11"/>
  <c r="AA72" i="11"/>
  <c r="AA36" i="11"/>
  <c r="AU52" i="11"/>
  <c r="AU69" i="11"/>
  <c r="AU79" i="11"/>
  <c r="AA44" i="11"/>
  <c r="AU60" i="11"/>
  <c r="AU5" i="11"/>
  <c r="AU8" i="11"/>
  <c r="AA41" i="11"/>
  <c r="AA13" i="11"/>
  <c r="AA9" i="11"/>
  <c r="AA18" i="11"/>
  <c r="AA56" i="11"/>
  <c r="AU32" i="11"/>
  <c r="AA30" i="11"/>
  <c r="AU25" i="11"/>
  <c r="AU73" i="11"/>
  <c r="AU19" i="11"/>
  <c r="AA65" i="11"/>
  <c r="AU15" i="11"/>
  <c r="AA43" i="11"/>
  <c r="AA55" i="11"/>
  <c r="AA47" i="11"/>
  <c r="AU68" i="11"/>
  <c r="AA63" i="11"/>
  <c r="AA80" i="11"/>
  <c r="AA12" i="11"/>
  <c r="AU49" i="11"/>
  <c r="AA11" i="11"/>
  <c r="AU74" i="11"/>
  <c r="AI88" i="11"/>
  <c r="AU88" i="11" s="1"/>
  <c r="AA35" i="11"/>
  <c r="AA85" i="11"/>
  <c r="AU66" i="11"/>
  <c r="AA50" i="11"/>
  <c r="AA28" i="11"/>
  <c r="AU27" i="11"/>
  <c r="AU58" i="11"/>
  <c r="AA23" i="11"/>
  <c r="AU67" i="11"/>
  <c r="AU33" i="11"/>
  <c r="AU17" i="11"/>
  <c r="AP6" i="11"/>
  <c r="AR6" i="11" s="1"/>
  <c r="AT7" i="11"/>
  <c r="AU78" i="11"/>
  <c r="AU64" i="11"/>
  <c r="AU20" i="11"/>
  <c r="AA82" i="11"/>
  <c r="AU82" i="11"/>
  <c r="AA45" i="11"/>
  <c r="AA76" i="11"/>
  <c r="AU76" i="11"/>
  <c r="AU77" i="11"/>
  <c r="AA77" i="11"/>
  <c r="AU14" i="11"/>
  <c r="AU54" i="11"/>
  <c r="AU31" i="11"/>
  <c r="AU21" i="11"/>
  <c r="AU22" i="11"/>
  <c r="AA22" i="11"/>
  <c r="AU83" i="11"/>
  <c r="AA83" i="11"/>
  <c r="AU61" i="11"/>
  <c r="AA61" i="11"/>
  <c r="AU39" i="11"/>
  <c r="AA39" i="11"/>
  <c r="L65" i="7"/>
  <c r="AQ4" i="9"/>
  <c r="AH4" i="9"/>
  <c r="K6" i="7"/>
  <c r="R43" i="11" l="1"/>
  <c r="AP7" i="11"/>
  <c r="AR7" i="11" s="1"/>
  <c r="AT8" i="11"/>
  <c r="L77" i="7"/>
  <c r="L89" i="7" s="1"/>
  <c r="BT4" i="11"/>
  <c r="BR5" i="11" s="1"/>
  <c r="AF5" i="9"/>
  <c r="AO5" i="9"/>
  <c r="I6" i="7"/>
  <c r="AT9" i="11" l="1"/>
  <c r="AP8" i="11"/>
  <c r="J6" i="7"/>
  <c r="Q6" i="7"/>
  <c r="AR8" i="11" l="1"/>
  <c r="BL5" i="11"/>
  <c r="AT10" i="11"/>
  <c r="AP9" i="11"/>
  <c r="AR9" i="11" s="1"/>
  <c r="G25" i="11"/>
  <c r="BU4" i="11"/>
  <c r="BS5" i="11"/>
  <c r="BJ5" i="11" s="1"/>
  <c r="D26" i="11" s="1"/>
  <c r="AM5" i="9"/>
  <c r="AS6" i="9" s="1"/>
  <c r="AD5" i="9"/>
  <c r="M6" i="7"/>
  <c r="O6" i="7"/>
  <c r="E26" i="11" l="1"/>
  <c r="AT11" i="11"/>
  <c r="AP10" i="11"/>
  <c r="AR10" i="11" s="1"/>
  <c r="BT5" i="11"/>
  <c r="BR6" i="11" s="1"/>
  <c r="BL6" i="11" s="1"/>
  <c r="AH5" i="9"/>
  <c r="AQ5" i="9"/>
  <c r="K7" i="7"/>
  <c r="AT12" i="11" l="1"/>
  <c r="AP11" i="11"/>
  <c r="AR11" i="11" s="1"/>
  <c r="BN5" i="11"/>
  <c r="E27" i="11"/>
  <c r="AO6" i="9"/>
  <c r="AF6" i="9"/>
  <c r="I7" i="7"/>
  <c r="AP12" i="11" l="1"/>
  <c r="AR12" i="11" s="1"/>
  <c r="AT13" i="11"/>
  <c r="G26" i="11"/>
  <c r="BU5" i="11"/>
  <c r="BS6" i="11"/>
  <c r="Q7" i="7"/>
  <c r="J7" i="7"/>
  <c r="AT14" i="11" l="1"/>
  <c r="AP13" i="11"/>
  <c r="AR13" i="11" s="1"/>
  <c r="BJ6" i="11"/>
  <c r="D27" i="11" s="1"/>
  <c r="BT6" i="11"/>
  <c r="BR7" i="11" s="1"/>
  <c r="AD6" i="9"/>
  <c r="AM6" i="9"/>
  <c r="AS7" i="9" s="1"/>
  <c r="M7" i="7"/>
  <c r="O7" i="7"/>
  <c r="AT15" i="11" l="1"/>
  <c r="AP14" i="11"/>
  <c r="AR14" i="11" s="1"/>
  <c r="BN6" i="11"/>
  <c r="BL7" i="11"/>
  <c r="E28" i="11" s="1"/>
  <c r="K8" i="7"/>
  <c r="AH6" i="9"/>
  <c r="AQ6" i="9"/>
  <c r="AT16" i="11" l="1"/>
  <c r="AP15" i="11"/>
  <c r="AR15" i="11" s="1"/>
  <c r="G27" i="11"/>
  <c r="BU6" i="11"/>
  <c r="BS7" i="11"/>
  <c r="AF7" i="9"/>
  <c r="I8" i="7"/>
  <c r="AO7" i="9"/>
  <c r="AP16" i="11" l="1"/>
  <c r="AR16" i="11" s="1"/>
  <c r="AT17" i="11"/>
  <c r="BJ7" i="11"/>
  <c r="D28" i="11" s="1"/>
  <c r="BT7" i="11"/>
  <c r="BR8" i="11" s="1"/>
  <c r="Q8" i="7"/>
  <c r="J8" i="7"/>
  <c r="AT18" i="11" l="1"/>
  <c r="AP17" i="11"/>
  <c r="AR17" i="11" s="1"/>
  <c r="BN7" i="11"/>
  <c r="BL8" i="11"/>
  <c r="E29" i="11" s="1"/>
  <c r="AM7" i="9"/>
  <c r="AS8" i="9" s="1"/>
  <c r="AD7" i="9"/>
  <c r="M8" i="7"/>
  <c r="O8" i="7"/>
  <c r="AP18" i="11" l="1"/>
  <c r="AR18" i="11" s="1"/>
  <c r="AT19" i="11"/>
  <c r="G28" i="11"/>
  <c r="BU7" i="11"/>
  <c r="BS8" i="11"/>
  <c r="AQ7" i="9"/>
  <c r="AH7" i="9"/>
  <c r="K9" i="7"/>
  <c r="AP19" i="11" l="1"/>
  <c r="AR19" i="11" s="1"/>
  <c r="AT20" i="11"/>
  <c r="BJ8" i="11"/>
  <c r="D29" i="11" s="1"/>
  <c r="BT8" i="11"/>
  <c r="BR9" i="11" s="1"/>
  <c r="AF8" i="9"/>
  <c r="AO8" i="9"/>
  <c r="I9" i="7"/>
  <c r="AT21" i="11" l="1"/>
  <c r="AP20" i="11"/>
  <c r="AR20" i="11" s="1"/>
  <c r="BN8" i="11"/>
  <c r="BL9" i="11"/>
  <c r="E30" i="11" s="1"/>
  <c r="J9" i="7"/>
  <c r="Q9" i="7"/>
  <c r="AP21" i="11" l="1"/>
  <c r="AR21" i="11" s="1"/>
  <c r="AT22" i="11"/>
  <c r="G29" i="11"/>
  <c r="BU8" i="11"/>
  <c r="BS9" i="11"/>
  <c r="M9" i="7"/>
  <c r="AM8" i="9"/>
  <c r="AS9" i="9" s="1"/>
  <c r="AD8" i="9"/>
  <c r="O9" i="7"/>
  <c r="AP22" i="11" l="1"/>
  <c r="AR22" i="11" s="1"/>
  <c r="AT23" i="11"/>
  <c r="BJ9" i="11"/>
  <c r="D30" i="11" s="1"/>
  <c r="BT9" i="11"/>
  <c r="BR10" i="11" s="1"/>
  <c r="K10" i="7"/>
  <c r="AH8" i="9"/>
  <c r="AQ8" i="9"/>
  <c r="AT24" i="11" l="1"/>
  <c r="AP23" i="11"/>
  <c r="AR23" i="11" s="1"/>
  <c r="BN9" i="11"/>
  <c r="BL10" i="11"/>
  <c r="E31" i="11" s="1"/>
  <c r="AF9" i="9"/>
  <c r="I10" i="7"/>
  <c r="AO9" i="9"/>
  <c r="AT25" i="11" l="1"/>
  <c r="AP24" i="11"/>
  <c r="AR24" i="11" s="1"/>
  <c r="G30" i="11"/>
  <c r="BU9" i="11"/>
  <c r="BS10" i="11"/>
  <c r="J10" i="7"/>
  <c r="Q10" i="7"/>
  <c r="AT26" i="11" l="1"/>
  <c r="AP25" i="11"/>
  <c r="AR25" i="11" s="1"/>
  <c r="BJ10" i="11"/>
  <c r="D31" i="11" s="1"/>
  <c r="BT10" i="11"/>
  <c r="BR11" i="11" s="1"/>
  <c r="AD9" i="9"/>
  <c r="M10" i="7"/>
  <c r="AM9" i="9"/>
  <c r="AS10" i="9" s="1"/>
  <c r="O10" i="7"/>
  <c r="AP26" i="11" l="1"/>
  <c r="AR26" i="11" s="1"/>
  <c r="AT27" i="11"/>
  <c r="BN10" i="11"/>
  <c r="BL11" i="11"/>
  <c r="E32" i="11" s="1"/>
  <c r="AQ9" i="9"/>
  <c r="AH9" i="9"/>
  <c r="K11" i="7"/>
  <c r="AT28" i="11" l="1"/>
  <c r="AP27" i="11"/>
  <c r="AR27" i="11" s="1"/>
  <c r="G31" i="11"/>
  <c r="BU10" i="11"/>
  <c r="BS11" i="11"/>
  <c r="AO10" i="9"/>
  <c r="AF10" i="9"/>
  <c r="I11" i="7"/>
  <c r="AP28" i="11" l="1"/>
  <c r="AR28" i="11" s="1"/>
  <c r="AT29" i="11"/>
  <c r="BJ11" i="11"/>
  <c r="D32" i="11" s="1"/>
  <c r="BT11" i="11"/>
  <c r="BR12" i="11" s="1"/>
  <c r="J11" i="7"/>
  <c r="Q11" i="7"/>
  <c r="AP29" i="11" l="1"/>
  <c r="AR29" i="11" s="1"/>
  <c r="AT30" i="11"/>
  <c r="BN11" i="11"/>
  <c r="BL12" i="11"/>
  <c r="E33" i="11" s="1"/>
  <c r="AM10" i="9"/>
  <c r="AS11" i="9" s="1"/>
  <c r="AD10" i="9"/>
  <c r="M11" i="7"/>
  <c r="O11" i="7"/>
  <c r="AT31" i="11" l="1"/>
  <c r="AP30" i="11"/>
  <c r="AR30" i="11" s="1"/>
  <c r="G32" i="11"/>
  <c r="BU11" i="11"/>
  <c r="BS12" i="11"/>
  <c r="AH10" i="9"/>
  <c r="AQ10" i="9"/>
  <c r="K12" i="7"/>
  <c r="AT32" i="11" l="1"/>
  <c r="AP31" i="11"/>
  <c r="AR31" i="11" s="1"/>
  <c r="BJ12" i="11"/>
  <c r="D33" i="11" s="1"/>
  <c r="BT12" i="11"/>
  <c r="BR13" i="11" s="1"/>
  <c r="AO11" i="9"/>
  <c r="AF11" i="9"/>
  <c r="I12" i="7"/>
  <c r="AP32" i="11" l="1"/>
  <c r="AR32" i="11" s="1"/>
  <c r="AT33" i="11"/>
  <c r="BN12" i="11"/>
  <c r="BL13" i="11"/>
  <c r="E34" i="11" s="1"/>
  <c r="Q12" i="7"/>
  <c r="J12" i="7"/>
  <c r="AP33" i="11" l="1"/>
  <c r="AR33" i="11" s="1"/>
  <c r="AT34" i="11"/>
  <c r="G33" i="11"/>
  <c r="BU12" i="11"/>
  <c r="BS13" i="11"/>
  <c r="AM11" i="9"/>
  <c r="AS12" i="9" s="1"/>
  <c r="M12" i="7"/>
  <c r="AD11" i="9"/>
  <c r="O12" i="7"/>
  <c r="AT35" i="11" l="1"/>
  <c r="AP34" i="11"/>
  <c r="AR34" i="11" s="1"/>
  <c r="BJ13" i="11"/>
  <c r="D34" i="11" s="1"/>
  <c r="BT13" i="11"/>
  <c r="BR14" i="11" s="1"/>
  <c r="K13" i="7"/>
  <c r="AH11" i="9"/>
  <c r="AQ11" i="9"/>
  <c r="AT36" i="11" l="1"/>
  <c r="AP35" i="11"/>
  <c r="AR35" i="11" s="1"/>
  <c r="BN13" i="11"/>
  <c r="BL14" i="11"/>
  <c r="E35" i="11" s="1"/>
  <c r="AO12" i="9"/>
  <c r="AF12" i="9"/>
  <c r="I13" i="7"/>
  <c r="AT37" i="11" l="1"/>
  <c r="AP36" i="11"/>
  <c r="AR36" i="11" s="1"/>
  <c r="G34" i="11"/>
  <c r="BU13" i="11"/>
  <c r="BS14" i="11"/>
  <c r="J13" i="7"/>
  <c r="Q13" i="7"/>
  <c r="AT38" i="11" l="1"/>
  <c r="AP37" i="11"/>
  <c r="AR37" i="11" s="1"/>
  <c r="BJ14" i="11"/>
  <c r="D35" i="11" s="1"/>
  <c r="BT14" i="11"/>
  <c r="BR15" i="11" s="1"/>
  <c r="M13" i="7"/>
  <c r="AD12" i="9"/>
  <c r="AM12" i="9"/>
  <c r="AS13" i="9" s="1"/>
  <c r="O13" i="7"/>
  <c r="AP38" i="11" l="1"/>
  <c r="AR38" i="11" s="1"/>
  <c r="AT39" i="11"/>
  <c r="BN14" i="11"/>
  <c r="BL15" i="11"/>
  <c r="E36" i="11" s="1"/>
  <c r="AQ12" i="9"/>
  <c r="AH12" i="9"/>
  <c r="K14" i="7"/>
  <c r="AT40" i="11" l="1"/>
  <c r="AP39" i="11"/>
  <c r="AR39" i="11" s="1"/>
  <c r="G35" i="11"/>
  <c r="BU14" i="11"/>
  <c r="BS15" i="11"/>
  <c r="I14" i="7"/>
  <c r="AO13" i="9"/>
  <c r="AF13" i="9"/>
  <c r="AP40" i="11" l="1"/>
  <c r="AR40" i="11" s="1"/>
  <c r="AT41" i="11"/>
  <c r="BJ15" i="11"/>
  <c r="D36" i="11" s="1"/>
  <c r="BT15" i="11"/>
  <c r="BR16" i="11" s="1"/>
  <c r="J14" i="7"/>
  <c r="Q14" i="7"/>
  <c r="AT42" i="11" l="1"/>
  <c r="AP41" i="11"/>
  <c r="AR41" i="11" s="1"/>
  <c r="BN15" i="11"/>
  <c r="BL16" i="11"/>
  <c r="E37" i="11" s="1"/>
  <c r="AD13" i="9"/>
  <c r="AM13" i="9"/>
  <c r="AS14" i="9" s="1"/>
  <c r="M14" i="7"/>
  <c r="O14" i="7"/>
  <c r="AP42" i="11" l="1"/>
  <c r="AR42" i="11" s="1"/>
  <c r="AT43" i="11"/>
  <c r="G36" i="11"/>
  <c r="BU15" i="11"/>
  <c r="BS16" i="11"/>
  <c r="K15" i="7"/>
  <c r="AH13" i="9"/>
  <c r="AQ13" i="9"/>
  <c r="AP43" i="11" l="1"/>
  <c r="AR43" i="11" s="1"/>
  <c r="AT44" i="11"/>
  <c r="BJ16" i="11"/>
  <c r="D37" i="11" s="1"/>
  <c r="BT16" i="11"/>
  <c r="BR17" i="11" s="1"/>
  <c r="AO14" i="9"/>
  <c r="AF14" i="9"/>
  <c r="I15" i="7"/>
  <c r="AP44" i="11" l="1"/>
  <c r="AR44" i="11" s="1"/>
  <c r="AT45" i="11"/>
  <c r="BN16" i="11"/>
  <c r="BL17" i="11"/>
  <c r="E38" i="11" s="1"/>
  <c r="J15" i="7"/>
  <c r="Q15" i="7"/>
  <c r="AP45" i="11" l="1"/>
  <c r="AR45" i="11" s="1"/>
  <c r="AT46" i="11"/>
  <c r="G37" i="11"/>
  <c r="BU16" i="11"/>
  <c r="BS17" i="11"/>
  <c r="AM14" i="9"/>
  <c r="AS15" i="9" s="1"/>
  <c r="AD14" i="9"/>
  <c r="M15" i="7"/>
  <c r="O15" i="7"/>
  <c r="AT47" i="11" l="1"/>
  <c r="AP46" i="11"/>
  <c r="AR46" i="11" s="1"/>
  <c r="BJ17" i="11"/>
  <c r="D38" i="11" s="1"/>
  <c r="BT17" i="11"/>
  <c r="BR18" i="11" s="1"/>
  <c r="K16" i="7"/>
  <c r="AQ14" i="9"/>
  <c r="AH14" i="9"/>
  <c r="AP47" i="11" l="1"/>
  <c r="AR47" i="11" s="1"/>
  <c r="AT48" i="11"/>
  <c r="BN17" i="11"/>
  <c r="BL18" i="11"/>
  <c r="E39" i="11" s="1"/>
  <c r="AO15" i="9"/>
  <c r="AF15" i="9"/>
  <c r="I16" i="7"/>
  <c r="AP48" i="11" l="1"/>
  <c r="AR48" i="11" s="1"/>
  <c r="AT49" i="11"/>
  <c r="G38" i="11"/>
  <c r="BU17" i="11"/>
  <c r="BS18" i="11"/>
  <c r="Q16" i="7"/>
  <c r="J16" i="7"/>
  <c r="AP49" i="11" l="1"/>
  <c r="AR49" i="11" s="1"/>
  <c r="AT50" i="11"/>
  <c r="BJ18" i="11"/>
  <c r="D39" i="11" s="1"/>
  <c r="BT18" i="11"/>
  <c r="BR19" i="11" s="1"/>
  <c r="M16" i="7"/>
  <c r="AD15" i="9"/>
  <c r="AM15" i="9"/>
  <c r="AS16" i="9" s="1"/>
  <c r="O16" i="7"/>
  <c r="AP50" i="11" l="1"/>
  <c r="AR50" i="11" s="1"/>
  <c r="AT51" i="11"/>
  <c r="BN18" i="11"/>
  <c r="BL19" i="11"/>
  <c r="E40" i="11" s="1"/>
  <c r="K17" i="7"/>
  <c r="AH15" i="9"/>
  <c r="AQ15" i="9"/>
  <c r="AT52" i="11" l="1"/>
  <c r="AP51" i="11"/>
  <c r="AR51" i="11" s="1"/>
  <c r="G39" i="11"/>
  <c r="BU18" i="11"/>
  <c r="BS19" i="11"/>
  <c r="AO16" i="9"/>
  <c r="AF16" i="9"/>
  <c r="I17" i="7"/>
  <c r="AP52" i="11" l="1"/>
  <c r="AR52" i="11" s="1"/>
  <c r="AT53" i="11"/>
  <c r="BJ19" i="11"/>
  <c r="D40" i="11" s="1"/>
  <c r="BT19" i="11"/>
  <c r="BR20" i="11" s="1"/>
  <c r="J17" i="7"/>
  <c r="Q17" i="7"/>
  <c r="AT54" i="11" l="1"/>
  <c r="AP53" i="11"/>
  <c r="AR53" i="11" s="1"/>
  <c r="BN19" i="11"/>
  <c r="BL20" i="11"/>
  <c r="E41" i="11" s="1"/>
  <c r="AM16" i="9"/>
  <c r="AS17" i="9" s="1"/>
  <c r="AD16" i="9"/>
  <c r="M17" i="7"/>
  <c r="O17" i="7"/>
  <c r="AP54" i="11" l="1"/>
  <c r="AR54" i="11" s="1"/>
  <c r="AT55" i="11"/>
  <c r="G40" i="11"/>
  <c r="BU19" i="11"/>
  <c r="BS20" i="11"/>
  <c r="AH16" i="9"/>
  <c r="AQ16" i="9"/>
  <c r="K18" i="7"/>
  <c r="AP55" i="11" l="1"/>
  <c r="AR55" i="11" s="1"/>
  <c r="AT56" i="11"/>
  <c r="BJ20" i="11"/>
  <c r="D41" i="11" s="1"/>
  <c r="BT20" i="11"/>
  <c r="BR21" i="11" s="1"/>
  <c r="AO17" i="9"/>
  <c r="I18" i="7"/>
  <c r="AF17" i="9"/>
  <c r="AT57" i="11" l="1"/>
  <c r="AP56" i="11"/>
  <c r="AR56" i="11" s="1"/>
  <c r="BN20" i="11"/>
  <c r="BL21" i="11"/>
  <c r="E42" i="11" s="1"/>
  <c r="Q18" i="7"/>
  <c r="J18" i="7"/>
  <c r="AP57" i="11" l="1"/>
  <c r="AR57" i="11" s="1"/>
  <c r="AT58" i="11"/>
  <c r="G41" i="11"/>
  <c r="BU20" i="11"/>
  <c r="BS21" i="11"/>
  <c r="AD17" i="9"/>
  <c r="AM17" i="9"/>
  <c r="AS18" i="9" s="1"/>
  <c r="M18" i="7"/>
  <c r="O18" i="7"/>
  <c r="AP58" i="11" l="1"/>
  <c r="AR58" i="11" s="1"/>
  <c r="AT59" i="11"/>
  <c r="BJ21" i="11"/>
  <c r="D42" i="11" s="1"/>
  <c r="BT21" i="11"/>
  <c r="BR22" i="11" s="1"/>
  <c r="K19" i="7"/>
  <c r="AQ17" i="9"/>
  <c r="AH17" i="9"/>
  <c r="AP59" i="11" l="1"/>
  <c r="AR59" i="11" s="1"/>
  <c r="AT60" i="11"/>
  <c r="BN21" i="11"/>
  <c r="BL22" i="11"/>
  <c r="E43" i="11" s="1"/>
  <c r="AO18" i="9"/>
  <c r="AF18" i="9"/>
  <c r="I19" i="7"/>
  <c r="AT61" i="11" l="1"/>
  <c r="AP60" i="11"/>
  <c r="AR60" i="11" s="1"/>
  <c r="G42" i="11"/>
  <c r="BU21" i="11"/>
  <c r="BS22" i="11"/>
  <c r="Q19" i="7"/>
  <c r="J19" i="7"/>
  <c r="AT62" i="11" l="1"/>
  <c r="AP61" i="11"/>
  <c r="AR61" i="11" s="1"/>
  <c r="BJ22" i="11"/>
  <c r="D43" i="11" s="1"/>
  <c r="BT22" i="11"/>
  <c r="BR23" i="11" s="1"/>
  <c r="M19" i="7"/>
  <c r="AD18" i="9"/>
  <c r="AM18" i="9"/>
  <c r="AS19" i="9" s="1"/>
  <c r="O19" i="7"/>
  <c r="AT63" i="11" l="1"/>
  <c r="AP62" i="11"/>
  <c r="AR62" i="11" s="1"/>
  <c r="BN22" i="11"/>
  <c r="BL23" i="11"/>
  <c r="E44" i="11" s="1"/>
  <c r="K20" i="7"/>
  <c r="AQ18" i="9"/>
  <c r="AH18" i="9"/>
  <c r="AP63" i="11" l="1"/>
  <c r="AR63" i="11" s="1"/>
  <c r="AT64" i="11"/>
  <c r="G43" i="11"/>
  <c r="BU22" i="11"/>
  <c r="BS23" i="11"/>
  <c r="I20" i="7"/>
  <c r="AF19" i="9"/>
  <c r="AO19" i="9"/>
  <c r="AP64" i="11" l="1"/>
  <c r="AR64" i="11" s="1"/>
  <c r="AT65" i="11"/>
  <c r="BJ23" i="11"/>
  <c r="D44" i="11" s="1"/>
  <c r="BT23" i="11"/>
  <c r="BR24" i="11" s="1"/>
  <c r="Q20" i="7"/>
  <c r="J20" i="7"/>
  <c r="AT66" i="11" l="1"/>
  <c r="AP65" i="11"/>
  <c r="AR65" i="11" s="1"/>
  <c r="BN23" i="11"/>
  <c r="BL24" i="11"/>
  <c r="E45" i="11" s="1"/>
  <c r="AD19" i="9"/>
  <c r="M20" i="7"/>
  <c r="AM19" i="9"/>
  <c r="AS20" i="9" s="1"/>
  <c r="O20" i="7"/>
  <c r="AP66" i="11" l="1"/>
  <c r="AR66" i="11" s="1"/>
  <c r="AT67" i="11"/>
  <c r="G44" i="11"/>
  <c r="BU23" i="11"/>
  <c r="BS24" i="11"/>
  <c r="AQ19" i="9"/>
  <c r="AH19" i="9"/>
  <c r="K21" i="7"/>
  <c r="AP67" i="11" l="1"/>
  <c r="AR67" i="11" s="1"/>
  <c r="AT68" i="11"/>
  <c r="BJ24" i="11"/>
  <c r="D45" i="11" s="1"/>
  <c r="BT24" i="11"/>
  <c r="BR25" i="11" s="1"/>
  <c r="AO20" i="9"/>
  <c r="AF20" i="9"/>
  <c r="I21" i="7"/>
  <c r="AP68" i="11" l="1"/>
  <c r="AR68" i="11" s="1"/>
  <c r="AT69" i="11"/>
  <c r="BN24" i="11"/>
  <c r="BL25" i="11"/>
  <c r="E46" i="11" s="1"/>
  <c r="J21" i="7"/>
  <c r="Q21" i="7"/>
  <c r="AT70" i="11" l="1"/>
  <c r="AP69" i="11"/>
  <c r="AR69" i="11" s="1"/>
  <c r="G45" i="11"/>
  <c r="BU24" i="11"/>
  <c r="BS25" i="11"/>
  <c r="M21" i="7"/>
  <c r="AD20" i="9"/>
  <c r="AM20" i="9"/>
  <c r="AS21" i="9" s="1"/>
  <c r="O21" i="7"/>
  <c r="AT71" i="11" l="1"/>
  <c r="AP70" i="11"/>
  <c r="AR70" i="11" s="1"/>
  <c r="BJ25" i="11"/>
  <c r="D46" i="11" s="1"/>
  <c r="BT25" i="11"/>
  <c r="BR26" i="11" s="1"/>
  <c r="K22" i="7"/>
  <c r="AQ20" i="9"/>
  <c r="AH20" i="9"/>
  <c r="AP71" i="11" l="1"/>
  <c r="AR71" i="11" s="1"/>
  <c r="AT72" i="11"/>
  <c r="BN25" i="11"/>
  <c r="BL26" i="11"/>
  <c r="E47" i="11" s="1"/>
  <c r="I22" i="7"/>
  <c r="AO21" i="9"/>
  <c r="AF21" i="9"/>
  <c r="AP72" i="11" l="1"/>
  <c r="AR72" i="11" s="1"/>
  <c r="AT73" i="11"/>
  <c r="G46" i="11"/>
  <c r="BU25" i="11"/>
  <c r="BS26" i="11"/>
  <c r="J22" i="7"/>
  <c r="Q22" i="7"/>
  <c r="AP73" i="11" l="1"/>
  <c r="AR73" i="11" s="1"/>
  <c r="AT74" i="11"/>
  <c r="BJ26" i="11"/>
  <c r="D47" i="11" s="1"/>
  <c r="BT26" i="11"/>
  <c r="BR27" i="11" s="1"/>
  <c r="AD21" i="9"/>
  <c r="M22" i="7"/>
  <c r="AM21" i="9"/>
  <c r="AS22" i="9" s="1"/>
  <c r="O22" i="7"/>
  <c r="AT75" i="11" l="1"/>
  <c r="AP74" i="11"/>
  <c r="AR74" i="11" s="1"/>
  <c r="BN26" i="11"/>
  <c r="BL27" i="11"/>
  <c r="K23" i="7"/>
  <c r="AQ21" i="9"/>
  <c r="AH21" i="9"/>
  <c r="E48" i="11" l="1"/>
  <c r="AT76" i="11"/>
  <c r="AP75" i="11"/>
  <c r="AR75" i="11" s="1"/>
  <c r="G47" i="11"/>
  <c r="BU26" i="11"/>
  <c r="BS27" i="11"/>
  <c r="I23" i="7"/>
  <c r="AO22" i="9"/>
  <c r="AF22" i="9"/>
  <c r="AT77" i="11" l="1"/>
  <c r="AP76" i="11"/>
  <c r="AR76" i="11" s="1"/>
  <c r="BJ27" i="11"/>
  <c r="D48" i="11" s="1"/>
  <c r="BT27" i="11"/>
  <c r="J23" i="7"/>
  <c r="Q23" i="7"/>
  <c r="BR28" i="11" l="1"/>
  <c r="BL28" i="11" s="1"/>
  <c r="E49" i="11" s="1"/>
  <c r="AP77" i="11"/>
  <c r="AR77" i="11" s="1"/>
  <c r="AT78" i="11"/>
  <c r="BN27" i="11"/>
  <c r="M23" i="7"/>
  <c r="AM22" i="9"/>
  <c r="AS23" i="9" s="1"/>
  <c r="AD22" i="9"/>
  <c r="O23" i="7"/>
  <c r="AT79" i="11" l="1"/>
  <c r="AP78" i="11"/>
  <c r="AR78" i="11" s="1"/>
  <c r="G48" i="11"/>
  <c r="BU27" i="11"/>
  <c r="BS28" i="11"/>
  <c r="K24" i="7"/>
  <c r="AQ22" i="9"/>
  <c r="AH22" i="9"/>
  <c r="AP79" i="11" l="1"/>
  <c r="AR79" i="11" s="1"/>
  <c r="AT80" i="11"/>
  <c r="BJ28" i="11"/>
  <c r="D49" i="11" s="1"/>
  <c r="BT28" i="11"/>
  <c r="AO23" i="9"/>
  <c r="AF23" i="9"/>
  <c r="I24" i="7"/>
  <c r="BR29" i="11" l="1"/>
  <c r="BL29" i="11" s="1"/>
  <c r="E50" i="11" s="1"/>
  <c r="AT81" i="11"/>
  <c r="AP80" i="11"/>
  <c r="AR80" i="11" s="1"/>
  <c r="BN28" i="11"/>
  <c r="Q24" i="7"/>
  <c r="J24" i="7"/>
  <c r="AP81" i="11" l="1"/>
  <c r="AR81" i="11" s="1"/>
  <c r="AT82" i="11"/>
  <c r="G49" i="11"/>
  <c r="BU28" i="11"/>
  <c r="BS29" i="11"/>
  <c r="AM23" i="9"/>
  <c r="AS24" i="9" s="1"/>
  <c r="M24" i="7"/>
  <c r="AD23" i="9"/>
  <c r="O24" i="7"/>
  <c r="AT83" i="11" l="1"/>
  <c r="AP82" i="11"/>
  <c r="AR82" i="11" s="1"/>
  <c r="BJ29" i="11"/>
  <c r="D50" i="11" s="1"/>
  <c r="BT29" i="11"/>
  <c r="K25" i="7"/>
  <c r="AQ23" i="9"/>
  <c r="AH23" i="9"/>
  <c r="BR30" i="11" l="1"/>
  <c r="BL30" i="11" s="1"/>
  <c r="E51" i="11" s="1"/>
  <c r="AP83" i="11"/>
  <c r="AR83" i="11" s="1"/>
  <c r="AT84" i="11"/>
  <c r="BN29" i="11"/>
  <c r="AO24" i="9"/>
  <c r="AF24" i="9"/>
  <c r="I25" i="7"/>
  <c r="AP84" i="11" l="1"/>
  <c r="AR84" i="11" s="1"/>
  <c r="AT85" i="11"/>
  <c r="G50" i="11"/>
  <c r="BU29" i="11"/>
  <c r="BS30" i="11"/>
  <c r="Q25" i="7"/>
  <c r="J25" i="7"/>
  <c r="AP85" i="11" l="1"/>
  <c r="AR85" i="11" s="1"/>
  <c r="AT86" i="11"/>
  <c r="BJ30" i="11"/>
  <c r="D51" i="11" s="1"/>
  <c r="BT30" i="11"/>
  <c r="AD24" i="9"/>
  <c r="M25" i="7"/>
  <c r="AM24" i="9"/>
  <c r="AS25" i="9" s="1"/>
  <c r="O25" i="7"/>
  <c r="BR31" i="11" l="1"/>
  <c r="BL31" i="11" s="1"/>
  <c r="E52" i="11" s="1"/>
  <c r="AP86" i="11"/>
  <c r="AR86" i="11" s="1"/>
  <c r="AT87" i="11"/>
  <c r="BN30" i="11"/>
  <c r="K26" i="7"/>
  <c r="AQ24" i="9"/>
  <c r="AH24" i="9"/>
  <c r="AP87" i="11" l="1"/>
  <c r="AT88" i="11"/>
  <c r="G51" i="11"/>
  <c r="BU30" i="11"/>
  <c r="BS31" i="11"/>
  <c r="I26" i="7"/>
  <c r="AF25" i="9"/>
  <c r="AO25" i="9"/>
  <c r="AR87" i="11" l="1"/>
  <c r="AT89" i="11"/>
  <c r="AP89" i="11" s="1"/>
  <c r="AR89" i="11" s="1"/>
  <c r="AP88" i="11"/>
  <c r="AR88" i="11" s="1"/>
  <c r="BJ31" i="11"/>
  <c r="D52" i="11" s="1"/>
  <c r="BT31" i="11"/>
  <c r="Q26" i="7"/>
  <c r="J26" i="7"/>
  <c r="BR32" i="11" l="1"/>
  <c r="BL32" i="11" s="1"/>
  <c r="E53" i="11" s="1"/>
  <c r="AP90" i="11"/>
  <c r="AR90" i="11"/>
  <c r="BN31" i="11"/>
  <c r="AD25" i="9"/>
  <c r="AM25" i="9"/>
  <c r="AS26" i="9" s="1"/>
  <c r="M26" i="7"/>
  <c r="O26" i="7"/>
  <c r="G52" i="11" l="1"/>
  <c r="BU31" i="11"/>
  <c r="BS32" i="11"/>
  <c r="AQ25" i="9"/>
  <c r="AH25" i="9"/>
  <c r="K27" i="7"/>
  <c r="BJ32" i="11" l="1"/>
  <c r="D53" i="11" s="1"/>
  <c r="BT32" i="11"/>
  <c r="I27" i="7"/>
  <c r="AF26" i="9"/>
  <c r="AO26" i="9"/>
  <c r="BR33" i="11" l="1"/>
  <c r="BL33" i="11" s="1"/>
  <c r="E54" i="11" s="1"/>
  <c r="BN32" i="11"/>
  <c r="J27" i="7"/>
  <c r="Q27" i="7"/>
  <c r="G53" i="11" l="1"/>
  <c r="BU32" i="11"/>
  <c r="BS33" i="11"/>
  <c r="AM26" i="9"/>
  <c r="AS27" i="9" s="1"/>
  <c r="M27" i="7"/>
  <c r="AD26" i="9"/>
  <c r="O27" i="7"/>
  <c r="BJ33" i="11" l="1"/>
  <c r="D54" i="11" s="1"/>
  <c r="BT33" i="11"/>
  <c r="K28" i="7"/>
  <c r="AH26" i="9"/>
  <c r="AQ26" i="9"/>
  <c r="BR34" i="11" l="1"/>
  <c r="BL34" i="11" s="1"/>
  <c r="E55" i="11" s="1"/>
  <c r="BN33" i="11"/>
  <c r="AO27" i="9"/>
  <c r="AF27" i="9"/>
  <c r="J28" i="7"/>
  <c r="G54" i="11" l="1"/>
  <c r="BU33" i="11"/>
  <c r="BS34" i="11"/>
  <c r="AD27" i="9"/>
  <c r="AM27" i="9"/>
  <c r="AS28" i="9" s="1"/>
  <c r="M28" i="7"/>
  <c r="O28" i="7"/>
  <c r="BJ34" i="11" l="1"/>
  <c r="D55" i="11" s="1"/>
  <c r="BT34" i="11"/>
  <c r="K29" i="7"/>
  <c r="AH27" i="9"/>
  <c r="AQ27" i="9"/>
  <c r="BR35" i="11" l="1"/>
  <c r="BL35" i="11" s="1"/>
  <c r="E56" i="11" s="1"/>
  <c r="BN34" i="11"/>
  <c r="I29" i="7"/>
  <c r="AO28" i="9"/>
  <c r="AF28" i="9"/>
  <c r="G55" i="11" l="1"/>
  <c r="BU34" i="11"/>
  <c r="BS35" i="11"/>
  <c r="Q29" i="7"/>
  <c r="J29" i="7"/>
  <c r="BJ35" i="11" l="1"/>
  <c r="D56" i="11" s="1"/>
  <c r="BT35" i="11"/>
  <c r="AM28" i="9"/>
  <c r="AS29" i="9" s="1"/>
  <c r="M29" i="7"/>
  <c r="AD28" i="9"/>
  <c r="O29" i="7"/>
  <c r="BR36" i="11" l="1"/>
  <c r="BL36" i="11" s="1"/>
  <c r="E57" i="11" s="1"/>
  <c r="BN35" i="11"/>
  <c r="K30" i="7"/>
  <c r="AH28" i="9"/>
  <c r="AQ28" i="9"/>
  <c r="G56" i="11" l="1"/>
  <c r="BU35" i="11"/>
  <c r="BS36" i="11"/>
  <c r="AF29" i="9"/>
  <c r="I30" i="7"/>
  <c r="AO29" i="9"/>
  <c r="BJ36" i="11" l="1"/>
  <c r="D57" i="11" s="1"/>
  <c r="BT36" i="11"/>
  <c r="J30" i="7"/>
  <c r="Q30" i="7"/>
  <c r="BR37" i="11" l="1"/>
  <c r="BL37" i="11" s="1"/>
  <c r="E58" i="11" s="1"/>
  <c r="BN36" i="11"/>
  <c r="AD29" i="9"/>
  <c r="AM29" i="9"/>
  <c r="AS30" i="9" s="1"/>
  <c r="M30" i="7"/>
  <c r="O30" i="7"/>
  <c r="G57" i="11" l="1"/>
  <c r="BU36" i="11"/>
  <c r="BS37" i="11"/>
  <c r="AQ29" i="9"/>
  <c r="AH29" i="9"/>
  <c r="K31" i="7"/>
  <c r="BJ37" i="11" l="1"/>
  <c r="D58" i="11" s="1"/>
  <c r="BT37" i="11"/>
  <c r="AO30" i="9"/>
  <c r="I31" i="7"/>
  <c r="AF30" i="9"/>
  <c r="BR38" i="11" l="1"/>
  <c r="BL38" i="11" s="1"/>
  <c r="E59" i="11" s="1"/>
  <c r="BN37" i="11"/>
  <c r="Q31" i="7"/>
  <c r="J31" i="7"/>
  <c r="G58" i="11" l="1"/>
  <c r="BU37" i="11"/>
  <c r="BS38" i="11"/>
  <c r="AM30" i="9"/>
  <c r="AS31" i="9" s="1"/>
  <c r="M31" i="7"/>
  <c r="AD30" i="9"/>
  <c r="O31" i="7"/>
  <c r="BJ38" i="11" l="1"/>
  <c r="D59" i="11" s="1"/>
  <c r="BT38" i="11"/>
  <c r="K32" i="7"/>
  <c r="AH30" i="9"/>
  <c r="AQ30" i="9"/>
  <c r="BR39" i="11" l="1"/>
  <c r="BL39" i="11" s="1"/>
  <c r="E60" i="11" s="1"/>
  <c r="BN38" i="11"/>
  <c r="AF31" i="9"/>
  <c r="AO31" i="9"/>
  <c r="I32" i="7"/>
  <c r="G59" i="11" l="1"/>
  <c r="BU38" i="11"/>
  <c r="BS39" i="11"/>
  <c r="Q32" i="7"/>
  <c r="J32" i="7"/>
  <c r="BJ39" i="11" l="1"/>
  <c r="D60" i="11" s="1"/>
  <c r="BT39" i="11"/>
  <c r="BR40" i="11" s="1"/>
  <c r="AM31" i="9"/>
  <c r="AS32" i="9" s="1"/>
  <c r="M32" i="7"/>
  <c r="AD31" i="9"/>
  <c r="O32" i="7"/>
  <c r="BL40" i="11" l="1"/>
  <c r="E61" i="11" s="1"/>
  <c r="BN39" i="11"/>
  <c r="K33" i="7"/>
  <c r="AH31" i="9"/>
  <c r="AQ31" i="9"/>
  <c r="G60" i="11" l="1"/>
  <c r="BU39" i="11"/>
  <c r="BS40" i="11"/>
  <c r="AF32" i="9"/>
  <c r="I33" i="7"/>
  <c r="AO32" i="9"/>
  <c r="BJ40" i="11" l="1"/>
  <c r="D61" i="11" s="1"/>
  <c r="BT40" i="11"/>
  <c r="BR41" i="11" s="1"/>
  <c r="Q33" i="7"/>
  <c r="J33" i="7"/>
  <c r="BL41" i="11" l="1"/>
  <c r="E62" i="11" s="1"/>
  <c r="BN40" i="11"/>
  <c r="AM32" i="9"/>
  <c r="AS33" i="9" s="1"/>
  <c r="M33" i="7"/>
  <c r="AD32" i="9"/>
  <c r="O33" i="7"/>
  <c r="G61" i="11" l="1"/>
  <c r="BU40" i="11"/>
  <c r="BS41" i="11"/>
  <c r="K34" i="7"/>
  <c r="AH32" i="9"/>
  <c r="AQ32" i="9"/>
  <c r="BJ41" i="11" l="1"/>
  <c r="D62" i="11" s="1"/>
  <c r="BT41" i="11"/>
  <c r="BR42" i="11" s="1"/>
  <c r="AF33" i="9"/>
  <c r="AO33" i="9"/>
  <c r="I34" i="7"/>
  <c r="BL42" i="11" l="1"/>
  <c r="E63" i="11" s="1"/>
  <c r="BN41" i="11"/>
  <c r="Q34" i="7"/>
  <c r="J34" i="7"/>
  <c r="G62" i="11" l="1"/>
  <c r="BU41" i="11"/>
  <c r="BS42" i="11"/>
  <c r="AD33" i="9"/>
  <c r="AM33" i="9"/>
  <c r="AS34" i="9" s="1"/>
  <c r="M34" i="7"/>
  <c r="O34" i="7"/>
  <c r="BJ42" i="11" l="1"/>
  <c r="D63" i="11" s="1"/>
  <c r="BT42" i="11"/>
  <c r="AH33" i="9"/>
  <c r="AQ33" i="9"/>
  <c r="K35" i="7"/>
  <c r="BR43" i="11" l="1"/>
  <c r="BL43" i="11" s="1"/>
  <c r="E64" i="11" s="1"/>
  <c r="BN42" i="11"/>
  <c r="I35" i="7"/>
  <c r="AF34" i="9"/>
  <c r="AO34" i="9"/>
  <c r="G63" i="11" l="1"/>
  <c r="BU42" i="11"/>
  <c r="BS43" i="11"/>
  <c r="Q35" i="7"/>
  <c r="J35" i="7"/>
  <c r="BJ43" i="11" l="1"/>
  <c r="D64" i="11" s="1"/>
  <c r="BT43" i="11"/>
  <c r="M35" i="7"/>
  <c r="AM34" i="9"/>
  <c r="AS35" i="9" s="1"/>
  <c r="AD34" i="9"/>
  <c r="O35" i="7"/>
  <c r="BR44" i="11" l="1"/>
  <c r="BL44" i="11" s="1"/>
  <c r="E65" i="11" s="1"/>
  <c r="BN43" i="11"/>
  <c r="K36" i="7"/>
  <c r="AH34" i="9"/>
  <c r="AQ34" i="9"/>
  <c r="G64" i="11" l="1"/>
  <c r="BU43" i="11"/>
  <c r="BS44" i="11"/>
  <c r="I36" i="7"/>
  <c r="AO35" i="9"/>
  <c r="AF35" i="9"/>
  <c r="BJ44" i="11" l="1"/>
  <c r="D65" i="11" s="1"/>
  <c r="BT44" i="11"/>
  <c r="Q36" i="7"/>
  <c r="J36" i="7"/>
  <c r="BR45" i="11" l="1"/>
  <c r="BL45" i="11" s="1"/>
  <c r="E66" i="11" s="1"/>
  <c r="BN44" i="11"/>
  <c r="AM35" i="9"/>
  <c r="AS36" i="9" s="1"/>
  <c r="M36" i="7"/>
  <c r="AD35" i="9"/>
  <c r="O36" i="7"/>
  <c r="G65" i="11" l="1"/>
  <c r="BU44" i="11"/>
  <c r="BS45" i="11"/>
  <c r="K37" i="7"/>
  <c r="AQ35" i="9"/>
  <c r="AH35" i="9"/>
  <c r="BJ45" i="11" l="1"/>
  <c r="D66" i="11" s="1"/>
  <c r="BT45" i="11"/>
  <c r="AO36" i="9"/>
  <c r="AF36" i="9"/>
  <c r="I37" i="7"/>
  <c r="BR46" i="11" l="1"/>
  <c r="BL46" i="11" s="1"/>
  <c r="E67" i="11" s="1"/>
  <c r="BN45" i="11"/>
  <c r="J37" i="7"/>
  <c r="Q37" i="7"/>
  <c r="G66" i="11" l="1"/>
  <c r="BU45" i="11"/>
  <c r="BS46" i="11"/>
  <c r="M37" i="7"/>
  <c r="AD36" i="9"/>
  <c r="AM36" i="9"/>
  <c r="AS37" i="9" s="1"/>
  <c r="O37" i="7"/>
  <c r="BJ46" i="11" l="1"/>
  <c r="D67" i="11" s="1"/>
  <c r="BT46" i="11"/>
  <c r="K38" i="7"/>
  <c r="AH36" i="9"/>
  <c r="AQ36" i="9"/>
  <c r="BR47" i="11" l="1"/>
  <c r="BL47" i="11" s="1"/>
  <c r="E68" i="11" s="1"/>
  <c r="BN46" i="11"/>
  <c r="AF37" i="9"/>
  <c r="AO37" i="9"/>
  <c r="I38" i="7"/>
  <c r="G67" i="11" l="1"/>
  <c r="BU46" i="11"/>
  <c r="BS47" i="11"/>
  <c r="Q38" i="7"/>
  <c r="J38" i="7"/>
  <c r="BJ47" i="11" l="1"/>
  <c r="D68" i="11" s="1"/>
  <c r="BT47" i="11"/>
  <c r="AM37" i="9"/>
  <c r="AS38" i="9" s="1"/>
  <c r="AD37" i="9"/>
  <c r="M38" i="7"/>
  <c r="O38" i="7"/>
  <c r="BR48" i="11" l="1"/>
  <c r="BL48" i="11" s="1"/>
  <c r="E69" i="11" s="1"/>
  <c r="BN47" i="11"/>
  <c r="AQ37" i="9"/>
  <c r="AH37" i="9"/>
  <c r="K39" i="7"/>
  <c r="G68" i="11" l="1"/>
  <c r="BU47" i="11"/>
  <c r="BS48" i="11"/>
  <c r="AO38" i="9"/>
  <c r="AF38" i="9"/>
  <c r="I39" i="7"/>
  <c r="BJ48" i="11" l="1"/>
  <c r="D69" i="11" s="1"/>
  <c r="BT48" i="11"/>
  <c r="Q39" i="7"/>
  <c r="J39" i="7"/>
  <c r="BR49" i="11" l="1"/>
  <c r="BL49" i="11" s="1"/>
  <c r="E70" i="11" s="1"/>
  <c r="BN48" i="11"/>
  <c r="AD38" i="9"/>
  <c r="AM38" i="9"/>
  <c r="AS39" i="9" s="1"/>
  <c r="M39" i="7"/>
  <c r="O39" i="7"/>
  <c r="G69" i="11" l="1"/>
  <c r="BU48" i="11"/>
  <c r="BS49" i="11"/>
  <c r="K40" i="7"/>
  <c r="AQ38" i="9"/>
  <c r="AH38" i="9"/>
  <c r="BJ49" i="11" l="1"/>
  <c r="D70" i="11" s="1"/>
  <c r="BT49" i="11"/>
  <c r="I40" i="7"/>
  <c r="AF39" i="9"/>
  <c r="AO39" i="9"/>
  <c r="BR50" i="11" l="1"/>
  <c r="BL50" i="11" s="1"/>
  <c r="E71" i="11" s="1"/>
  <c r="BN49" i="11"/>
  <c r="J40" i="7"/>
  <c r="Q40" i="7"/>
  <c r="G70" i="11" l="1"/>
  <c r="BU49" i="11"/>
  <c r="BS50" i="11"/>
  <c r="AD39" i="9"/>
  <c r="AM39" i="9"/>
  <c r="AS40" i="9" s="1"/>
  <c r="M40" i="7"/>
  <c r="O40" i="7"/>
  <c r="BJ50" i="11" l="1"/>
  <c r="D71" i="11" s="1"/>
  <c r="BT50" i="11"/>
  <c r="AQ39" i="9"/>
  <c r="AH39" i="9"/>
  <c r="K41" i="7"/>
  <c r="BR51" i="11" l="1"/>
  <c r="BL51" i="11" s="1"/>
  <c r="E72" i="11" s="1"/>
  <c r="BN50" i="11"/>
  <c r="I41" i="7"/>
  <c r="AO40" i="9"/>
  <c r="AF40" i="9"/>
  <c r="G71" i="11" l="1"/>
  <c r="BU50" i="11"/>
  <c r="BS51" i="11"/>
  <c r="Q41" i="7"/>
  <c r="J41" i="7"/>
  <c r="BJ51" i="11" l="1"/>
  <c r="D72" i="11" s="1"/>
  <c r="BT51" i="11"/>
  <c r="M41" i="7"/>
  <c r="AM40" i="9"/>
  <c r="AS41" i="9" s="1"/>
  <c r="AD40" i="9"/>
  <c r="O41" i="7"/>
  <c r="BR52" i="11" l="1"/>
  <c r="BL52" i="11" s="1"/>
  <c r="E73" i="11" s="1"/>
  <c r="BN51" i="11"/>
  <c r="K42" i="7"/>
  <c r="AH40" i="9"/>
  <c r="AQ40" i="9"/>
  <c r="G72" i="11" l="1"/>
  <c r="BU51" i="11"/>
  <c r="BS52" i="11"/>
  <c r="AF41" i="9"/>
  <c r="AO41" i="9"/>
  <c r="I42" i="7"/>
  <c r="BJ52" i="11" l="1"/>
  <c r="D73" i="11" s="1"/>
  <c r="BT52" i="11"/>
  <c r="J42" i="7"/>
  <c r="Q42" i="7"/>
  <c r="BR53" i="11" l="1"/>
  <c r="BL53" i="11" s="1"/>
  <c r="E74" i="11" s="1"/>
  <c r="BN52" i="11"/>
  <c r="AD41" i="9"/>
  <c r="AM41" i="9"/>
  <c r="AS42" i="9" s="1"/>
  <c r="M42" i="7"/>
  <c r="O42" i="7"/>
  <c r="G73" i="11" l="1"/>
  <c r="BU52" i="11"/>
  <c r="BS53" i="11"/>
  <c r="AH41" i="9"/>
  <c r="AQ41" i="9"/>
  <c r="K43" i="7"/>
  <c r="BJ53" i="11" l="1"/>
  <c r="D74" i="11" s="1"/>
  <c r="BT53" i="11"/>
  <c r="AO42" i="9"/>
  <c r="AF42" i="9"/>
  <c r="I43" i="7"/>
  <c r="BR54" i="11" l="1"/>
  <c r="BL54" i="11" s="1"/>
  <c r="E75" i="11" s="1"/>
  <c r="BN53" i="11"/>
  <c r="Q43" i="7"/>
  <c r="J43" i="7"/>
  <c r="G74" i="11" l="1"/>
  <c r="BU53" i="11"/>
  <c r="BS54" i="11"/>
  <c r="AD42" i="9"/>
  <c r="AM42" i="9"/>
  <c r="AS43" i="9" s="1"/>
  <c r="M43" i="7"/>
  <c r="O43" i="7"/>
  <c r="BJ54" i="11" l="1"/>
  <c r="D75" i="11" s="1"/>
  <c r="BT54" i="11"/>
  <c r="AQ42" i="9"/>
  <c r="AH42" i="9"/>
  <c r="K44" i="7"/>
  <c r="BR55" i="11" l="1"/>
  <c r="BL55" i="11" s="1"/>
  <c r="E76" i="11" s="1"/>
  <c r="BN54" i="11"/>
  <c r="AO43" i="9"/>
  <c r="AF43" i="9"/>
  <c r="I44" i="7"/>
  <c r="G75" i="11" l="1"/>
  <c r="BU54" i="11"/>
  <c r="BS55" i="11"/>
  <c r="Q44" i="7"/>
  <c r="J44" i="7"/>
  <c r="BJ55" i="11" l="1"/>
  <c r="D76" i="11" s="1"/>
  <c r="BT55" i="11"/>
  <c r="M44" i="7"/>
  <c r="AD43" i="9"/>
  <c r="AM43" i="9"/>
  <c r="AS44" i="9" s="1"/>
  <c r="O44" i="7"/>
  <c r="BR56" i="11" l="1"/>
  <c r="BL56" i="11" s="1"/>
  <c r="E77" i="11" s="1"/>
  <c r="BN55" i="11"/>
  <c r="K45" i="7"/>
  <c r="AQ43" i="9"/>
  <c r="AH43" i="9"/>
  <c r="G76" i="11" l="1"/>
  <c r="BU55" i="11"/>
  <c r="BS56" i="11"/>
  <c r="I45" i="7"/>
  <c r="AF44" i="9"/>
  <c r="AO44" i="9"/>
  <c r="BJ56" i="11" l="1"/>
  <c r="D77" i="11" s="1"/>
  <c r="BT56" i="11"/>
  <c r="Q45" i="7"/>
  <c r="J45" i="7"/>
  <c r="BR57" i="11" l="1"/>
  <c r="BL57" i="11" s="1"/>
  <c r="E78" i="11" s="1"/>
  <c r="BN56" i="11"/>
  <c r="M45" i="7"/>
  <c r="AD44" i="9"/>
  <c r="AM44" i="9"/>
  <c r="AS45" i="9" s="1"/>
  <c r="O45" i="7"/>
  <c r="G77" i="11" l="1"/>
  <c r="BU56" i="11"/>
  <c r="BS57" i="11"/>
  <c r="K46" i="7"/>
  <c r="AH44" i="9"/>
  <c r="AQ44" i="9"/>
  <c r="BJ57" i="11" l="1"/>
  <c r="D78" i="11" s="1"/>
  <c r="BT57" i="11"/>
  <c r="AF45" i="9"/>
  <c r="AO45" i="9"/>
  <c r="I46" i="7"/>
  <c r="BR58" i="11" l="1"/>
  <c r="BL58" i="11" s="1"/>
  <c r="E79" i="11" s="1"/>
  <c r="BN57" i="11"/>
  <c r="Q46" i="7"/>
  <c r="J46" i="7"/>
  <c r="G78" i="11" l="1"/>
  <c r="BU57" i="11"/>
  <c r="BS58" i="11"/>
  <c r="AM45" i="9"/>
  <c r="AS46" i="9" s="1"/>
  <c r="M46" i="7"/>
  <c r="AD45" i="9"/>
  <c r="O46" i="7"/>
  <c r="BJ58" i="11" l="1"/>
  <c r="D79" i="11" s="1"/>
  <c r="BT58" i="11"/>
  <c r="K47" i="7"/>
  <c r="AQ45" i="9"/>
  <c r="AH45" i="9"/>
  <c r="BR59" i="11" l="1"/>
  <c r="BL59" i="11" s="1"/>
  <c r="E80" i="11" s="1"/>
  <c r="BN58" i="11"/>
  <c r="AF46" i="9"/>
  <c r="AO46" i="9"/>
  <c r="I47" i="7"/>
  <c r="G79" i="11" l="1"/>
  <c r="BU58" i="11"/>
  <c r="BS59" i="11"/>
  <c r="J47" i="7"/>
  <c r="Q47" i="7"/>
  <c r="BJ59" i="11" l="1"/>
  <c r="D80" i="11" s="1"/>
  <c r="BT59" i="11"/>
  <c r="AD46" i="9"/>
  <c r="AM46" i="9"/>
  <c r="AS47" i="9" s="1"/>
  <c r="M47" i="7"/>
  <c r="O47" i="7"/>
  <c r="BR60" i="11" l="1"/>
  <c r="BL60" i="11" s="1"/>
  <c r="E81" i="11" s="1"/>
  <c r="BN59" i="11"/>
  <c r="K48" i="7"/>
  <c r="AQ46" i="9"/>
  <c r="AH46" i="9"/>
  <c r="G80" i="11" l="1"/>
  <c r="BU59" i="11"/>
  <c r="BS60" i="11"/>
  <c r="I48" i="7"/>
  <c r="AF47" i="9"/>
  <c r="AO47" i="9"/>
  <c r="BJ60" i="11" l="1"/>
  <c r="D81" i="11" s="1"/>
  <c r="BT60" i="11"/>
  <c r="Q48" i="7"/>
  <c r="J48" i="7"/>
  <c r="BR61" i="11" l="1"/>
  <c r="BL61" i="11" s="1"/>
  <c r="E82" i="11" s="1"/>
  <c r="BN60" i="11"/>
  <c r="AD47" i="9"/>
  <c r="M48" i="7"/>
  <c r="AM47" i="9"/>
  <c r="AS48" i="9" s="1"/>
  <c r="O48" i="7"/>
  <c r="G81" i="11" l="1"/>
  <c r="BU60" i="11"/>
  <c r="BS61" i="11"/>
  <c r="AH47" i="9"/>
  <c r="AQ47" i="9"/>
  <c r="K49" i="7"/>
  <c r="BJ61" i="11" l="1"/>
  <c r="D82" i="11" s="1"/>
  <c r="BT61" i="11"/>
  <c r="AO48" i="9"/>
  <c r="AF48" i="9"/>
  <c r="I49" i="7"/>
  <c r="BR62" i="11" l="1"/>
  <c r="BL62" i="11" s="1"/>
  <c r="E83" i="11" s="1"/>
  <c r="BN61" i="11"/>
  <c r="Q49" i="7"/>
  <c r="J49" i="7"/>
  <c r="G82" i="11" l="1"/>
  <c r="BU61" i="11"/>
  <c r="BS62" i="11"/>
  <c r="M49" i="7"/>
  <c r="AM48" i="9"/>
  <c r="AS49" i="9" s="1"/>
  <c r="AD48" i="9"/>
  <c r="O49" i="7"/>
  <c r="BJ62" i="11" l="1"/>
  <c r="D83" i="11" s="1"/>
  <c r="BT62" i="11"/>
  <c r="K50" i="7"/>
  <c r="AQ48" i="9"/>
  <c r="AH48" i="9"/>
  <c r="BR63" i="11" l="1"/>
  <c r="BL63" i="11" s="1"/>
  <c r="E84" i="11" s="1"/>
  <c r="BN62" i="11"/>
  <c r="AO49" i="9"/>
  <c r="I50" i="7"/>
  <c r="AF49" i="9"/>
  <c r="G83" i="11" l="1"/>
  <c r="BU62" i="11"/>
  <c r="BS63" i="11"/>
  <c r="J50" i="7"/>
  <c r="Q50" i="7"/>
  <c r="BJ63" i="11" l="1"/>
  <c r="D84" i="11" s="1"/>
  <c r="BT63" i="11"/>
  <c r="AD49" i="9"/>
  <c r="AM49" i="9"/>
  <c r="AS50" i="9" s="1"/>
  <c r="M50" i="7"/>
  <c r="O50" i="7"/>
  <c r="BR64" i="11" l="1"/>
  <c r="BL64" i="11" s="1"/>
  <c r="E85" i="11" s="1"/>
  <c r="BN63" i="11"/>
  <c r="AH49" i="9"/>
  <c r="AQ49" i="9"/>
  <c r="K51" i="7"/>
  <c r="G84" i="11" l="1"/>
  <c r="BU63" i="11"/>
  <c r="BS64" i="11"/>
  <c r="AO50" i="9"/>
  <c r="AF50" i="9"/>
  <c r="I51" i="7"/>
  <c r="BJ64" i="11" l="1"/>
  <c r="D85" i="11" s="1"/>
  <c r="BT64" i="11"/>
  <c r="J51" i="7"/>
  <c r="Q51" i="7"/>
  <c r="BR65" i="11" l="1"/>
  <c r="BL65" i="11" s="1"/>
  <c r="E86" i="11" s="1"/>
  <c r="BN64" i="11"/>
  <c r="M51" i="7"/>
  <c r="AD50" i="9"/>
  <c r="AM50" i="9"/>
  <c r="AS51" i="9" s="1"/>
  <c r="O51" i="7"/>
  <c r="G85" i="11" l="1"/>
  <c r="BU64" i="11"/>
  <c r="BS65" i="11"/>
  <c r="K52" i="7"/>
  <c r="AH50" i="9"/>
  <c r="AQ50" i="9"/>
  <c r="BJ65" i="11" l="1"/>
  <c r="D86" i="11" s="1"/>
  <c r="BT65" i="11"/>
  <c r="AO51" i="9"/>
  <c r="AF51" i="9"/>
  <c r="I52" i="7"/>
  <c r="BR66" i="11" l="1"/>
  <c r="BL66" i="11" s="1"/>
  <c r="E87" i="11" s="1"/>
  <c r="BN65" i="11"/>
  <c r="Q52" i="7"/>
  <c r="J52" i="7"/>
  <c r="G86" i="11" l="1"/>
  <c r="BU65" i="11"/>
  <c r="BS66" i="11"/>
  <c r="M52" i="7"/>
  <c r="AD51" i="9"/>
  <c r="AM51" i="9"/>
  <c r="AS52" i="9" s="1"/>
  <c r="O52" i="7"/>
  <c r="BJ66" i="11" l="1"/>
  <c r="D87" i="11" s="1"/>
  <c r="BT66" i="11"/>
  <c r="K53" i="7"/>
  <c r="AQ51" i="9"/>
  <c r="AH51" i="9"/>
  <c r="BR67" i="11" l="1"/>
  <c r="BL67" i="11" s="1"/>
  <c r="E88" i="11" s="1"/>
  <c r="BN66" i="11"/>
  <c r="AF52" i="9"/>
  <c r="AO52" i="9"/>
  <c r="I53" i="7"/>
  <c r="G87" i="11" l="1"/>
  <c r="BU66" i="11"/>
  <c r="BS67" i="11"/>
  <c r="Q53" i="7"/>
  <c r="J53" i="7"/>
  <c r="BJ67" i="11" l="1"/>
  <c r="D88" i="11" s="1"/>
  <c r="BT67" i="11"/>
  <c r="AD52" i="9"/>
  <c r="AM52" i="9"/>
  <c r="AS53" i="9" s="1"/>
  <c r="M53" i="7"/>
  <c r="O53" i="7"/>
  <c r="BR68" i="11" l="1"/>
  <c r="BL68" i="11" s="1"/>
  <c r="E89" i="11" s="1"/>
  <c r="BN67" i="11"/>
  <c r="AH52" i="9"/>
  <c r="AQ52" i="9"/>
  <c r="K54" i="7"/>
  <c r="G88" i="11" l="1"/>
  <c r="BU67" i="11"/>
  <c r="BS68" i="11"/>
  <c r="AO53" i="9"/>
  <c r="AF53" i="9"/>
  <c r="I54" i="7"/>
  <c r="BJ68" i="11" l="1"/>
  <c r="D89" i="11" s="1"/>
  <c r="BT68" i="11"/>
  <c r="J54" i="7"/>
  <c r="Q54" i="7"/>
  <c r="BR69" i="11" l="1"/>
  <c r="BL69" i="11" s="1"/>
  <c r="E90" i="11" s="1"/>
  <c r="BN68" i="11"/>
  <c r="AM53" i="9"/>
  <c r="AS54" i="9" s="1"/>
  <c r="AD53" i="9"/>
  <c r="M54" i="7"/>
  <c r="O54" i="7"/>
  <c r="G89" i="11" l="1"/>
  <c r="BU68" i="11"/>
  <c r="BS69" i="11"/>
  <c r="AH53" i="9"/>
  <c r="AQ53" i="9"/>
  <c r="K55" i="7"/>
  <c r="BJ69" i="11" l="1"/>
  <c r="D90" i="11" s="1"/>
  <c r="BT69" i="11"/>
  <c r="I55" i="7"/>
  <c r="AF54" i="9"/>
  <c r="AO54" i="9"/>
  <c r="BR70" i="11" l="1"/>
  <c r="BL70" i="11" s="1"/>
  <c r="E91" i="11" s="1"/>
  <c r="BN69" i="11"/>
  <c r="Q55" i="7"/>
  <c r="J55" i="7"/>
  <c r="G90" i="11" l="1"/>
  <c r="BU69" i="11"/>
  <c r="BS70" i="11"/>
  <c r="M55" i="7"/>
  <c r="AD54" i="9"/>
  <c r="AM54" i="9"/>
  <c r="AS55" i="9" s="1"/>
  <c r="O55" i="7"/>
  <c r="BJ70" i="11" l="1"/>
  <c r="D91" i="11" s="1"/>
  <c r="BT70" i="11"/>
  <c r="K56" i="7"/>
  <c r="AQ54" i="9"/>
  <c r="AH54" i="9"/>
  <c r="BR71" i="11" l="1"/>
  <c r="BL71" i="11" s="1"/>
  <c r="E92" i="11" s="1"/>
  <c r="BN70" i="11"/>
  <c r="AO55" i="9"/>
  <c r="I56" i="7"/>
  <c r="AF55" i="9"/>
  <c r="G91" i="11" l="1"/>
  <c r="BU70" i="11"/>
  <c r="BS71" i="11"/>
  <c r="Q56" i="7"/>
  <c r="J56" i="7"/>
  <c r="BJ71" i="11" l="1"/>
  <c r="D92" i="11" s="1"/>
  <c r="BT71" i="11"/>
  <c r="AD55" i="9"/>
  <c r="AM55" i="9"/>
  <c r="AS56" i="9" s="1"/>
  <c r="M56" i="7"/>
  <c r="O56" i="7"/>
  <c r="BR72" i="11" l="1"/>
  <c r="BL72" i="11" s="1"/>
  <c r="E93" i="11" s="1"/>
  <c r="BN71" i="11"/>
  <c r="K57" i="7"/>
  <c r="AH55" i="9"/>
  <c r="AQ55" i="9"/>
  <c r="G92" i="11" l="1"/>
  <c r="BU71" i="11"/>
  <c r="BS72" i="11"/>
  <c r="I57" i="7"/>
  <c r="AF56" i="9"/>
  <c r="AO56" i="9"/>
  <c r="BJ72" i="11" l="1"/>
  <c r="D93" i="11" s="1"/>
  <c r="BT72" i="11"/>
  <c r="J57" i="7"/>
  <c r="Q57" i="7"/>
  <c r="BR73" i="11" l="1"/>
  <c r="BL73" i="11" s="1"/>
  <c r="E94" i="11" s="1"/>
  <c r="BN72" i="11"/>
  <c r="M57" i="7"/>
  <c r="AM56" i="9"/>
  <c r="AS57" i="9" s="1"/>
  <c r="AD56" i="9"/>
  <c r="O57" i="7"/>
  <c r="G93" i="11" l="1"/>
  <c r="BU72" i="11"/>
  <c r="BS73" i="11"/>
  <c r="K58" i="7"/>
  <c r="AQ56" i="9"/>
  <c r="AH56" i="9"/>
  <c r="BJ73" i="11" l="1"/>
  <c r="D94" i="11" s="1"/>
  <c r="BT73" i="11"/>
  <c r="AO57" i="9"/>
  <c r="AF57" i="9"/>
  <c r="I58" i="7"/>
  <c r="BR74" i="11" l="1"/>
  <c r="BL74" i="11" s="1"/>
  <c r="E95" i="11" s="1"/>
  <c r="BN73" i="11"/>
  <c r="Q58" i="7"/>
  <c r="J58" i="7"/>
  <c r="G94" i="11" l="1"/>
  <c r="BU73" i="11"/>
  <c r="BS74" i="11"/>
  <c r="M58" i="7"/>
  <c r="AM57" i="9"/>
  <c r="AS58" i="9" s="1"/>
  <c r="AD57" i="9"/>
  <c r="O58" i="7"/>
  <c r="BJ74" i="11" l="1"/>
  <c r="D95" i="11" s="1"/>
  <c r="BT74" i="11"/>
  <c r="K59" i="7"/>
  <c r="AQ57" i="9"/>
  <c r="AH57" i="9"/>
  <c r="BR75" i="11" l="1"/>
  <c r="BL75" i="11" s="1"/>
  <c r="E96" i="11" s="1"/>
  <c r="BN74" i="11"/>
  <c r="AF58" i="9"/>
  <c r="AO58" i="9"/>
  <c r="I59" i="7"/>
  <c r="G95" i="11" l="1"/>
  <c r="BU74" i="11"/>
  <c r="BS75" i="11"/>
  <c r="J59" i="7"/>
  <c r="Q59" i="7"/>
  <c r="BJ75" i="11" l="1"/>
  <c r="D96" i="11" s="1"/>
  <c r="BT75" i="11"/>
  <c r="M59" i="7"/>
  <c r="AM58" i="9"/>
  <c r="AS59" i="9" s="1"/>
  <c r="AD58" i="9"/>
  <c r="O59" i="7"/>
  <c r="BR76" i="11" l="1"/>
  <c r="BL76" i="11" s="1"/>
  <c r="E97" i="11" s="1"/>
  <c r="BN75" i="11"/>
  <c r="K60" i="7"/>
  <c r="AH58" i="9"/>
  <c r="AQ58" i="9"/>
  <c r="G96" i="11" l="1"/>
  <c r="BU75" i="11"/>
  <c r="BS76" i="11"/>
  <c r="AO59" i="9"/>
  <c r="AF59" i="9"/>
  <c r="I60" i="7"/>
  <c r="BJ76" i="11" l="1"/>
  <c r="D97" i="11" s="1"/>
  <c r="BT76" i="11"/>
  <c r="J60" i="7"/>
  <c r="Q60" i="7"/>
  <c r="BR77" i="11" l="1"/>
  <c r="BL77" i="11" s="1"/>
  <c r="E98" i="11" s="1"/>
  <c r="BN76" i="11"/>
  <c r="M60" i="7"/>
  <c r="AM59" i="9"/>
  <c r="AS60" i="9" s="1"/>
  <c r="AD59" i="9"/>
  <c r="O60" i="7"/>
  <c r="G97" i="11" l="1"/>
  <c r="BU76" i="11"/>
  <c r="BS77" i="11"/>
  <c r="K61" i="7"/>
  <c r="AH59" i="9"/>
  <c r="AQ59" i="9"/>
  <c r="BJ77" i="11" l="1"/>
  <c r="D98" i="11" s="1"/>
  <c r="BT77" i="11"/>
  <c r="AO60" i="9"/>
  <c r="AF60" i="9"/>
  <c r="I61" i="7"/>
  <c r="BR78" i="11" l="1"/>
  <c r="BL78" i="11" s="1"/>
  <c r="E99" i="11" s="1"/>
  <c r="BN77" i="11"/>
  <c r="J61" i="7"/>
  <c r="Q61" i="7"/>
  <c r="G98" i="11" l="1"/>
  <c r="BU77" i="11"/>
  <c r="BS78" i="11"/>
  <c r="M61" i="7"/>
  <c r="AM60" i="9"/>
  <c r="AS61" i="9" s="1"/>
  <c r="AD60" i="9"/>
  <c r="O61" i="7"/>
  <c r="BJ78" i="11" l="1"/>
  <c r="D99" i="11" s="1"/>
  <c r="BT78" i="11"/>
  <c r="K62" i="7"/>
  <c r="AQ60" i="9"/>
  <c r="AH60" i="9"/>
  <c r="BR79" i="11" l="1"/>
  <c r="BL79" i="11" s="1"/>
  <c r="E100" i="11" s="1"/>
  <c r="BN78" i="11"/>
  <c r="I62" i="7"/>
  <c r="AF61" i="9"/>
  <c r="AO61" i="9"/>
  <c r="G99" i="11" l="1"/>
  <c r="BU78" i="11"/>
  <c r="BS79" i="11"/>
  <c r="J62" i="7"/>
  <c r="Q62" i="7"/>
  <c r="BJ79" i="11" l="1"/>
  <c r="D100" i="11" s="1"/>
  <c r="BT79" i="11"/>
  <c r="M62" i="7"/>
  <c r="AM61" i="9"/>
  <c r="AS62" i="9" s="1"/>
  <c r="AD61" i="9"/>
  <c r="O62" i="7"/>
  <c r="BR80" i="11" l="1"/>
  <c r="BL80" i="11" s="1"/>
  <c r="E101" i="11" s="1"/>
  <c r="BN79" i="11"/>
  <c r="K63" i="7"/>
  <c r="AQ61" i="9"/>
  <c r="AH61" i="9"/>
  <c r="G100" i="11" l="1"/>
  <c r="BU79" i="11"/>
  <c r="BS80" i="11"/>
  <c r="AO62" i="9"/>
  <c r="I63" i="7"/>
  <c r="AF62" i="9"/>
  <c r="BJ80" i="11" l="1"/>
  <c r="D101" i="11" s="1"/>
  <c r="BT80" i="11"/>
  <c r="Q63" i="7"/>
  <c r="J63" i="7"/>
  <c r="BR81" i="11" l="1"/>
  <c r="BL81" i="11" s="1"/>
  <c r="E102" i="11" s="1"/>
  <c r="BN80" i="11"/>
  <c r="M63" i="7"/>
  <c r="AM62" i="9"/>
  <c r="AS63" i="9" s="1"/>
  <c r="AD62" i="9"/>
  <c r="O63" i="7"/>
  <c r="AC2" i="7" s="1"/>
  <c r="G101" i="11" l="1"/>
  <c r="BU80" i="11"/>
  <c r="BS81" i="11"/>
  <c r="K64" i="7"/>
  <c r="AH62" i="9"/>
  <c r="AQ62" i="9"/>
  <c r="BJ81" i="11" l="1"/>
  <c r="D102" i="11" s="1"/>
  <c r="BT81" i="11"/>
  <c r="I64" i="7"/>
  <c r="AO63" i="9"/>
  <c r="AF63" i="9"/>
  <c r="BR82" i="11" l="1"/>
  <c r="BL82" i="11" s="1"/>
  <c r="E103" i="11" s="1"/>
  <c r="BN81" i="11"/>
  <c r="Q64" i="7"/>
  <c r="J64" i="7"/>
  <c r="G102" i="11" l="1"/>
  <c r="BU81" i="11"/>
  <c r="BS82" i="11"/>
  <c r="AD63" i="9"/>
  <c r="M64" i="7"/>
  <c r="AM63" i="9"/>
  <c r="AS64" i="9" s="1"/>
  <c r="O64" i="7"/>
  <c r="BJ82" i="11" l="1"/>
  <c r="D103" i="11" s="1"/>
  <c r="BT82" i="11"/>
  <c r="K65" i="7"/>
  <c r="AQ63" i="9"/>
  <c r="AH63" i="9"/>
  <c r="BR83" i="11" l="1"/>
  <c r="BL83" i="11" s="1"/>
  <c r="E104" i="11" s="1"/>
  <c r="BN82" i="11"/>
  <c r="I65" i="7"/>
  <c r="AF64" i="9"/>
  <c r="AO64" i="9"/>
  <c r="G103" i="11" l="1"/>
  <c r="BU82" i="11"/>
  <c r="BS83" i="11"/>
  <c r="Q65" i="7"/>
  <c r="J65" i="7"/>
  <c r="BJ83" i="11" l="1"/>
  <c r="D104" i="11" s="1"/>
  <c r="BT83" i="11"/>
  <c r="AM64" i="9"/>
  <c r="AS65" i="9" s="1"/>
  <c r="M65" i="7"/>
  <c r="AD64" i="9"/>
  <c r="O65" i="7"/>
  <c r="BR84" i="11" l="1"/>
  <c r="BL84" i="11" s="1"/>
  <c r="E105" i="11" s="1"/>
  <c r="BN83" i="11"/>
  <c r="K66" i="7"/>
  <c r="AQ64" i="9"/>
  <c r="AH64" i="9"/>
  <c r="G104" i="11" l="1"/>
  <c r="BU83" i="11"/>
  <c r="BS84" i="11"/>
  <c r="AO65" i="9"/>
  <c r="AF65" i="9"/>
  <c r="I66" i="7"/>
  <c r="BJ84" i="11" l="1"/>
  <c r="D105" i="11" s="1"/>
  <c r="BT84" i="11"/>
  <c r="Q66" i="7"/>
  <c r="J66" i="7"/>
  <c r="BR85" i="11" l="1"/>
  <c r="BL85" i="11" s="1"/>
  <c r="E106" i="11" s="1"/>
  <c r="BN84" i="11"/>
  <c r="AD65" i="9"/>
  <c r="M66" i="7"/>
  <c r="AM65" i="9"/>
  <c r="AS66" i="9" s="1"/>
  <c r="O66" i="7"/>
  <c r="G105" i="11" l="1"/>
  <c r="BU84" i="11"/>
  <c r="BS85" i="11"/>
  <c r="K67" i="7"/>
  <c r="AQ65" i="9"/>
  <c r="AH65" i="9"/>
  <c r="BJ85" i="11" l="1"/>
  <c r="D106" i="11" s="1"/>
  <c r="BT85" i="11"/>
  <c r="AO66" i="9"/>
  <c r="AF66" i="9"/>
  <c r="I67" i="7"/>
  <c r="BR86" i="11" l="1"/>
  <c r="BL86" i="11" s="1"/>
  <c r="E107" i="11" s="1"/>
  <c r="BN85" i="11"/>
  <c r="Q67" i="7"/>
  <c r="J67" i="7"/>
  <c r="G106" i="11" l="1"/>
  <c r="BU85" i="11"/>
  <c r="BS86" i="11"/>
  <c r="M67" i="7"/>
  <c r="AD66" i="9"/>
  <c r="AM66" i="9"/>
  <c r="AS67" i="9" s="1"/>
  <c r="O67" i="7"/>
  <c r="BJ86" i="11" l="1"/>
  <c r="D107" i="11" s="1"/>
  <c r="BT86" i="11"/>
  <c r="BR87" i="11" s="1"/>
  <c r="K68" i="7"/>
  <c r="AH66" i="9"/>
  <c r="AQ66" i="9"/>
  <c r="BN86" i="11" l="1"/>
  <c r="BL87" i="11"/>
  <c r="BL89" i="11" s="1"/>
  <c r="N13" i="11" s="1"/>
  <c r="AF67" i="9"/>
  <c r="AO67" i="9"/>
  <c r="I68" i="7"/>
  <c r="N21" i="11" l="1"/>
  <c r="N18" i="11" s="1"/>
  <c r="O13" i="11" s="1"/>
  <c r="G107" i="11"/>
  <c r="BU86" i="11"/>
  <c r="E108" i="11"/>
  <c r="E109" i="11" s="1"/>
  <c r="BS87" i="11"/>
  <c r="BJ87" i="11" s="1"/>
  <c r="D108" i="11" s="1"/>
  <c r="J68" i="7"/>
  <c r="Q68" i="7"/>
  <c r="BN87" i="11" l="1"/>
  <c r="D109" i="11"/>
  <c r="BJ88" i="11"/>
  <c r="BN88" i="11" s="1"/>
  <c r="BT87" i="11"/>
  <c r="M68" i="7"/>
  <c r="AD67" i="9"/>
  <c r="AM67" i="9"/>
  <c r="AS68" i="9" s="1"/>
  <c r="O68" i="7"/>
  <c r="BU87" i="11" l="1"/>
  <c r="R42" i="11" s="1"/>
  <c r="R41" i="11" s="1"/>
  <c r="E19" i="11" s="1"/>
  <c r="R35" i="11"/>
  <c r="E16" i="11" s="1"/>
  <c r="G108" i="11"/>
  <c r="G109" i="11" s="1"/>
  <c r="K69" i="7"/>
  <c r="AQ67" i="9"/>
  <c r="AH67" i="9"/>
  <c r="AO68" i="9" l="1"/>
  <c r="AF68" i="9"/>
  <c r="I69" i="7"/>
  <c r="Q69" i="7" l="1"/>
  <c r="J69" i="7"/>
  <c r="AM68" i="9" l="1"/>
  <c r="AS69" i="9" s="1"/>
  <c r="AD68" i="9"/>
  <c r="M69" i="7"/>
  <c r="O69" i="7"/>
  <c r="AQ68" i="9" l="1"/>
  <c r="AH68" i="9"/>
  <c r="K70" i="7"/>
  <c r="AO69" i="9" l="1"/>
  <c r="AF69" i="9"/>
  <c r="I70" i="7"/>
  <c r="J70" i="7" l="1"/>
  <c r="Q70" i="7"/>
  <c r="M70" i="7" l="1"/>
  <c r="AM69" i="9"/>
  <c r="AS70" i="9" s="1"/>
  <c r="AD69" i="9"/>
  <c r="O70" i="7"/>
  <c r="K71" i="7" l="1"/>
  <c r="AH69" i="9"/>
  <c r="AQ69" i="9"/>
  <c r="AF70" i="9" l="1"/>
  <c r="I71" i="7"/>
  <c r="AO70" i="9"/>
  <c r="Q71" i="7" l="1"/>
  <c r="J71" i="7"/>
  <c r="M71" i="7" l="1"/>
  <c r="AD70" i="9"/>
  <c r="AM70" i="9"/>
  <c r="AS71" i="9" s="1"/>
  <c r="O71" i="7"/>
  <c r="K72" i="7" l="1"/>
  <c r="AQ70" i="9"/>
  <c r="AH70" i="9"/>
  <c r="AO71" i="9" l="1"/>
  <c r="I72" i="7"/>
  <c r="AF71" i="9"/>
  <c r="J72" i="7" l="1"/>
  <c r="Q72" i="7"/>
  <c r="M72" i="7" l="1"/>
  <c r="AM71" i="9"/>
  <c r="AS72" i="9" s="1"/>
  <c r="AD71" i="9"/>
  <c r="O72" i="7"/>
  <c r="K73" i="7" l="1"/>
  <c r="AH71" i="9"/>
  <c r="AQ71" i="9"/>
  <c r="I73" i="7" l="1"/>
  <c r="AF72" i="9"/>
  <c r="AO72" i="9"/>
  <c r="J73" i="7" l="1"/>
  <c r="Q73" i="7"/>
  <c r="AM72" i="9" l="1"/>
  <c r="AS73" i="9" s="1"/>
  <c r="AD72" i="9"/>
  <c r="M73" i="7"/>
  <c r="O73" i="7"/>
  <c r="AH72" i="9" l="1"/>
  <c r="AQ72" i="9"/>
  <c r="K74" i="7"/>
  <c r="AF73" i="9" l="1"/>
  <c r="I74" i="7"/>
  <c r="AO73" i="9"/>
  <c r="J74" i="7" l="1"/>
  <c r="Q74" i="7"/>
  <c r="AD73" i="9" l="1"/>
  <c r="AM73" i="9"/>
  <c r="AS74" i="9" s="1"/>
  <c r="M74" i="7"/>
  <c r="O74" i="7"/>
  <c r="K75" i="7" l="1"/>
  <c r="AH73" i="9"/>
  <c r="AQ73" i="9"/>
  <c r="AF74" i="9" l="1"/>
  <c r="AO74" i="9"/>
  <c r="I75" i="7"/>
  <c r="J75" i="7" l="1"/>
  <c r="Q75" i="7"/>
  <c r="M75" i="7" l="1"/>
  <c r="AM74" i="9"/>
  <c r="AS75" i="9" s="1"/>
  <c r="AD74" i="9"/>
  <c r="O75" i="7"/>
  <c r="K76" i="7" l="1"/>
  <c r="AH74" i="9"/>
  <c r="AQ74" i="9"/>
  <c r="AO75" i="9" l="1"/>
  <c r="AF75" i="9"/>
  <c r="I76" i="7"/>
  <c r="Q76" i="7" l="1"/>
  <c r="J76" i="7"/>
  <c r="M76" i="7" l="1"/>
  <c r="AM75" i="9"/>
  <c r="AS76" i="9" s="1"/>
  <c r="AD75" i="9"/>
  <c r="O76" i="7"/>
  <c r="K77" i="7" s="1"/>
  <c r="AF76" i="9" l="1"/>
  <c r="AO76" i="9"/>
  <c r="I77" i="7"/>
  <c r="AQ75" i="9"/>
  <c r="AH75" i="9"/>
  <c r="Q77" i="7" l="1"/>
  <c r="J77" i="7"/>
  <c r="O77" i="7" l="1"/>
  <c r="M77" i="7"/>
  <c r="AM76" i="9"/>
  <c r="AS77" i="9" s="1"/>
  <c r="AD76" i="9"/>
  <c r="AH76" i="9" l="1"/>
  <c r="AQ76" i="9"/>
  <c r="K78" i="7"/>
  <c r="I78" i="7" l="1"/>
  <c r="AF77" i="9"/>
  <c r="AO77" i="9"/>
  <c r="Q78" i="7" l="1"/>
  <c r="J78" i="7"/>
  <c r="M78" i="7" l="1"/>
  <c r="AD77" i="9"/>
  <c r="AM77" i="9"/>
  <c r="AS78" i="9" s="1"/>
  <c r="O78" i="7"/>
  <c r="K79" i="7" l="1"/>
  <c r="AH77" i="9"/>
  <c r="AQ77" i="9"/>
  <c r="I79" i="7" l="1"/>
  <c r="AO78" i="9"/>
  <c r="AF78" i="9"/>
  <c r="J79" i="7" l="1"/>
  <c r="Q79" i="7"/>
  <c r="AM78" i="9" l="1"/>
  <c r="AS79" i="9" s="1"/>
  <c r="AD78" i="9"/>
  <c r="M79" i="7"/>
  <c r="O79" i="7"/>
  <c r="K80" i="7" l="1"/>
  <c r="AQ78" i="9"/>
  <c r="AH78" i="9"/>
  <c r="I80" i="7" l="1"/>
  <c r="AO79" i="9"/>
  <c r="AF79" i="9"/>
  <c r="Q80" i="7" l="1"/>
  <c r="J80" i="7"/>
  <c r="AM79" i="9" l="1"/>
  <c r="AS80" i="9" s="1"/>
  <c r="M80" i="7"/>
  <c r="AD79" i="9"/>
  <c r="O80" i="7"/>
  <c r="K81" i="7" l="1"/>
  <c r="AH79" i="9"/>
  <c r="AQ79" i="9"/>
  <c r="I81" i="7" l="1"/>
  <c r="AF80" i="9"/>
  <c r="AO80" i="9"/>
  <c r="Q81" i="7" l="1"/>
  <c r="J81" i="7"/>
  <c r="AD80" i="9" l="1"/>
  <c r="AM80" i="9"/>
  <c r="AS81" i="9" s="1"/>
  <c r="M81" i="7"/>
  <c r="O81" i="7"/>
  <c r="AH80" i="9" l="1"/>
  <c r="AQ80" i="9"/>
  <c r="K82" i="7"/>
  <c r="I82" i="7" l="1"/>
  <c r="AO81" i="9"/>
  <c r="AF81" i="9"/>
  <c r="Q82" i="7" l="1"/>
  <c r="J82" i="7"/>
  <c r="AM81" i="9" l="1"/>
  <c r="AS82" i="9" s="1"/>
  <c r="AD81" i="9"/>
  <c r="M82" i="7"/>
  <c r="O82" i="7"/>
  <c r="AQ81" i="9" l="1"/>
  <c r="AH81" i="9"/>
  <c r="K83" i="7"/>
  <c r="I83" i="7" l="1"/>
  <c r="AO82" i="9"/>
  <c r="AF82" i="9"/>
  <c r="J83" i="7" l="1"/>
  <c r="Q83" i="7"/>
  <c r="AM82" i="9" l="1"/>
  <c r="AS83" i="9" s="1"/>
  <c r="AD82" i="9"/>
  <c r="M83" i="7"/>
  <c r="O83" i="7"/>
  <c r="AQ82" i="9" l="1"/>
  <c r="AH82" i="9"/>
  <c r="K84" i="7"/>
  <c r="I84" i="7" l="1"/>
  <c r="AO83" i="9"/>
  <c r="AF83" i="9"/>
  <c r="Q84" i="7" l="1"/>
  <c r="J84" i="7"/>
  <c r="AD83" i="9" l="1"/>
  <c r="AM83" i="9"/>
  <c r="AS84" i="9" s="1"/>
  <c r="M84" i="7"/>
  <c r="O84" i="7"/>
  <c r="K85" i="7" l="1"/>
  <c r="AH83" i="9"/>
  <c r="AQ83" i="9"/>
  <c r="I85" i="7" l="1"/>
  <c r="AO84" i="9"/>
  <c r="AF84" i="9"/>
  <c r="Q85" i="7" l="1"/>
  <c r="J85" i="7"/>
  <c r="AD84" i="9" l="1"/>
  <c r="M85" i="7"/>
  <c r="AM84" i="9"/>
  <c r="AS85" i="9" s="1"/>
  <c r="O85" i="7"/>
  <c r="K86" i="7" l="1"/>
  <c r="AH84" i="9"/>
  <c r="AQ84" i="9"/>
  <c r="I86" i="7" l="1"/>
  <c r="AO85" i="9"/>
  <c r="AF85" i="9"/>
  <c r="J86" i="7" l="1"/>
  <c r="Q86" i="7"/>
  <c r="AM85" i="9" l="1"/>
  <c r="AS86" i="9" s="1"/>
  <c r="M86" i="7"/>
  <c r="AD85" i="9"/>
  <c r="O86" i="7"/>
  <c r="K87" i="7" l="1"/>
  <c r="AQ85" i="9"/>
  <c r="AH85" i="9"/>
  <c r="I87" i="7" l="1"/>
  <c r="AO86" i="9"/>
  <c r="AF86" i="9"/>
  <c r="J87" i="7" l="1"/>
  <c r="Q87" i="7"/>
  <c r="AM86" i="9" l="1"/>
  <c r="AS87" i="9" s="1"/>
  <c r="M87" i="7"/>
  <c r="AD86" i="9"/>
  <c r="O87" i="7"/>
  <c r="AQ86" i="9" l="1"/>
  <c r="AH86" i="9"/>
  <c r="K88" i="7"/>
  <c r="I88" i="7" l="1"/>
  <c r="AF87" i="9"/>
  <c r="AO87" i="9"/>
  <c r="Q88" i="7" l="1"/>
  <c r="Y10" i="7" s="1"/>
  <c r="J88" i="7"/>
  <c r="F4" i="10" l="1"/>
  <c r="AB3" i="7"/>
  <c r="AM87" i="9"/>
  <c r="AS88" i="9" s="1"/>
  <c r="AD87" i="9"/>
  <c r="M88" i="7"/>
  <c r="O88" i="7"/>
  <c r="K89" i="7" l="1"/>
  <c r="Y4" i="7" s="1"/>
  <c r="AH87" i="9"/>
  <c r="AQ87" i="9"/>
  <c r="Y3" i="7" l="1"/>
  <c r="AB2" i="7"/>
  <c r="Y11" i="7" s="1"/>
  <c r="F2" i="10" s="1"/>
  <c r="AO88" i="9"/>
  <c r="I89" i="7"/>
  <c r="AF88" i="9"/>
  <c r="F10" i="10" l="1"/>
  <c r="Q89" i="7"/>
  <c r="J89" i="7"/>
  <c r="Y2" i="7" s="1"/>
  <c r="F12" i="10" s="1"/>
  <c r="AD88" i="9" l="1"/>
  <c r="AM88" i="9"/>
  <c r="AS89" i="9" s="1"/>
  <c r="M89" i="7"/>
  <c r="O89" i="7"/>
  <c r="K90" i="7" l="1"/>
  <c r="AQ88" i="9"/>
  <c r="AH88" i="9"/>
  <c r="I90" i="7" l="1"/>
  <c r="AF89" i="9"/>
  <c r="AO89" i="9"/>
  <c r="Q90" i="7" l="1"/>
  <c r="J90" i="7"/>
  <c r="AM89" i="9" l="1"/>
  <c r="AD89" i="9"/>
  <c r="M90" i="7"/>
  <c r="O90" i="7"/>
  <c r="K91" i="7" l="1"/>
  <c r="AQ89" i="9"/>
  <c r="AH89" i="9"/>
  <c r="I91" i="7" l="1"/>
  <c r="AF90" i="9"/>
  <c r="AO90" i="9"/>
  <c r="J91" i="7" l="1"/>
  <c r="Q91" i="7"/>
  <c r="AM90" i="9" l="1"/>
  <c r="M91" i="7"/>
  <c r="AD90" i="9"/>
  <c r="O91" i="7"/>
  <c r="K92" i="7" l="1"/>
  <c r="I92" i="7" s="1"/>
  <c r="AH90" i="9"/>
  <c r="AQ90" i="9"/>
  <c r="Q92" i="7" l="1"/>
  <c r="J92" i="7"/>
  <c r="M92" i="7" l="1"/>
  <c r="O92" i="7"/>
  <c r="K93" i="7" l="1"/>
  <c r="I93" i="7" s="1"/>
  <c r="J93" i="7" l="1"/>
  <c r="Q93" i="7"/>
  <c r="M93" i="7" l="1"/>
  <c r="O93" i="7"/>
  <c r="K94" i="7" l="1"/>
  <c r="I94" i="7" s="1"/>
  <c r="Q94" i="7" l="1"/>
  <c r="J94" i="7"/>
  <c r="M94" i="7" l="1"/>
  <c r="O94" i="7"/>
  <c r="K95" i="7" l="1"/>
  <c r="I95" i="7" s="1"/>
  <c r="Q95" i="7" l="1"/>
  <c r="J95" i="7"/>
  <c r="M95" i="7" l="1"/>
  <c r="O95" i="7"/>
  <c r="K96" i="7" l="1"/>
  <c r="I96" i="7" s="1"/>
  <c r="Q96" i="7" l="1"/>
  <c r="J96" i="7"/>
  <c r="M96" i="7" l="1"/>
  <c r="O96" i="7"/>
  <c r="K97" i="7" l="1"/>
  <c r="I97" i="7" s="1"/>
  <c r="Q97" i="7" l="1"/>
  <c r="J97" i="7"/>
  <c r="M97" i="7" l="1"/>
  <c r="O97" i="7"/>
  <c r="K98" i="7" l="1"/>
  <c r="I98" i="7" s="1"/>
  <c r="J98" i="7" l="1"/>
  <c r="Q98" i="7"/>
  <c r="M98" i="7" l="1"/>
  <c r="O98" i="7"/>
  <c r="K99" i="7" l="1"/>
  <c r="I99" i="7" s="1"/>
  <c r="Q99" i="7" l="1"/>
  <c r="J99" i="7"/>
  <c r="M99" i="7" l="1"/>
  <c r="O99" i="7"/>
  <c r="K100" i="7" l="1"/>
  <c r="I100" i="7" s="1"/>
  <c r="Q100" i="7" l="1"/>
  <c r="J100" i="7"/>
  <c r="M100" i="7" l="1"/>
  <c r="O100" i="7"/>
  <c r="K101" i="7" l="1"/>
  <c r="I101" i="7" s="1"/>
  <c r="Q101" i="7" l="1"/>
  <c r="J101" i="7"/>
  <c r="M101" i="7" l="1"/>
  <c r="O101" i="7"/>
  <c r="K102" i="7" l="1"/>
  <c r="I102" i="7" s="1"/>
  <c r="Q102" i="7" l="1"/>
  <c r="J102" i="7"/>
  <c r="M102" i="7" l="1"/>
  <c r="O102" i="7"/>
  <c r="K103" i="7" l="1"/>
  <c r="I103" i="7" s="1"/>
  <c r="Q103" i="7" l="1"/>
  <c r="J103" i="7"/>
  <c r="M103" i="7" l="1"/>
  <c r="O103" i="7"/>
  <c r="K104" i="7" l="1"/>
  <c r="I104" i="7" s="1"/>
  <c r="Q104" i="7" l="1"/>
  <c r="J104" i="7"/>
  <c r="M104" i="7" l="1"/>
  <c r="O104" i="7"/>
  <c r="K105" i="7" l="1"/>
  <c r="I105" i="7" s="1"/>
  <c r="Q105" i="7" l="1"/>
  <c r="J105" i="7"/>
  <c r="M105" i="7" l="1"/>
  <c r="O105" i="7"/>
  <c r="K106" i="7" l="1"/>
  <c r="I106" i="7" s="1"/>
  <c r="Q106" i="7" l="1"/>
  <c r="J106" i="7"/>
  <c r="M106" i="7" l="1"/>
  <c r="O106" i="7"/>
  <c r="K107" i="7" l="1"/>
  <c r="I107" i="7" s="1"/>
  <c r="J107" i="7" l="1"/>
  <c r="Q107" i="7"/>
  <c r="M107" i="7" l="1"/>
  <c r="O107" i="7"/>
  <c r="K108" i="7" l="1"/>
  <c r="I108" i="7" s="1"/>
  <c r="Q108" i="7" l="1"/>
  <c r="J108" i="7"/>
  <c r="M108" i="7" l="1"/>
  <c r="O108" i="7"/>
  <c r="K109" i="7" l="1"/>
  <c r="I109" i="7" s="1"/>
  <c r="Q109" i="7" l="1"/>
  <c r="J109" i="7"/>
  <c r="M109" i="7" l="1"/>
  <c r="O109" i="7"/>
  <c r="K110" i="7" l="1"/>
  <c r="I110" i="7" s="1"/>
  <c r="Q110" i="7" l="1"/>
  <c r="J110" i="7"/>
  <c r="M110" i="7" l="1"/>
  <c r="O110" i="7"/>
  <c r="K111" i="7" l="1"/>
  <c r="I111" i="7" s="1"/>
  <c r="Q111" i="7" l="1"/>
  <c r="J111" i="7"/>
  <c r="M111" i="7" l="1"/>
  <c r="O111" i="7"/>
  <c r="K112" i="7" l="1"/>
  <c r="I112" i="7" s="1"/>
  <c r="Q112" i="7" l="1"/>
  <c r="J112" i="7"/>
  <c r="M112" i="7" l="1"/>
  <c r="O112" i="7"/>
  <c r="K113" i="7" l="1"/>
  <c r="I113" i="7" s="1"/>
  <c r="Q113" i="7" l="1"/>
  <c r="J113" i="7"/>
  <c r="M113" i="7" l="1"/>
  <c r="O113" i="7"/>
  <c r="K114" i="7" l="1"/>
  <c r="I114" i="7" s="1"/>
  <c r="Q114" i="7" l="1"/>
  <c r="J114" i="7"/>
  <c r="M114" i="7" l="1"/>
  <c r="O114" i="7"/>
  <c r="K115" i="7" l="1"/>
  <c r="I115" i="7" s="1"/>
  <c r="J115" i="7" l="1"/>
  <c r="Q115" i="7"/>
  <c r="M115" i="7" l="1"/>
  <c r="O115" i="7"/>
  <c r="K116" i="7" l="1"/>
  <c r="I116" i="7" s="1"/>
  <c r="Q116" i="7" l="1"/>
  <c r="J116" i="7"/>
  <c r="M116" i="7" l="1"/>
  <c r="O116" i="7"/>
  <c r="K117" i="7" l="1"/>
  <c r="I117" i="7" s="1"/>
  <c r="Q117" i="7" l="1"/>
  <c r="J117" i="7"/>
  <c r="M117" i="7" l="1"/>
  <c r="O117" i="7"/>
  <c r="K118" i="7" l="1"/>
  <c r="I118" i="7" s="1"/>
  <c r="J118" i="7" l="1"/>
  <c r="Q118" i="7"/>
  <c r="M118" i="7" l="1"/>
  <c r="O118" i="7"/>
  <c r="K119" i="7" l="1"/>
  <c r="I119" i="7" s="1"/>
  <c r="J119" i="7" l="1"/>
  <c r="Q119" i="7"/>
  <c r="M119" i="7" l="1"/>
  <c r="O119" i="7"/>
  <c r="K120" i="7" l="1"/>
  <c r="I120" i="7" s="1"/>
  <c r="Q120" i="7" l="1"/>
  <c r="J120" i="7"/>
  <c r="M120" i="7" l="1"/>
  <c r="O120" i="7"/>
  <c r="K121" i="7" l="1"/>
  <c r="I121" i="7" s="1"/>
  <c r="Q121" i="7" l="1"/>
  <c r="J121" i="7"/>
  <c r="M121" i="7" l="1"/>
  <c r="O121" i="7"/>
  <c r="K122" i="7" l="1"/>
  <c r="I122" i="7" s="1"/>
  <c r="Q122" i="7" l="1"/>
  <c r="J122" i="7"/>
  <c r="M122" i="7" l="1"/>
  <c r="O122" i="7"/>
  <c r="K123" i="7" l="1"/>
  <c r="I123" i="7" s="1"/>
  <c r="Q123" i="7" l="1"/>
  <c r="J123" i="7"/>
  <c r="M123" i="7" l="1"/>
  <c r="O123" i="7"/>
  <c r="K124" i="7" l="1"/>
  <c r="I124" i="7" s="1"/>
  <c r="Q124" i="7" l="1"/>
  <c r="J124" i="7"/>
  <c r="M124" i="7" l="1"/>
  <c r="O124" i="7"/>
  <c r="K125" i="7" l="1"/>
  <c r="I125" i="7" s="1"/>
  <c r="Q125" i="7" l="1"/>
  <c r="J125" i="7"/>
  <c r="M125" i="7" l="1"/>
  <c r="O125" i="7"/>
  <c r="K126" i="7" l="1"/>
  <c r="I126" i="7" s="1"/>
  <c r="Q126" i="7" l="1"/>
  <c r="J126" i="7"/>
  <c r="M126" i="7" l="1"/>
  <c r="O126" i="7"/>
  <c r="K127" i="7" l="1"/>
  <c r="I127" i="7" s="1"/>
  <c r="Q127" i="7" l="1"/>
  <c r="J127" i="7"/>
  <c r="M127" i="7" l="1"/>
  <c r="O127" i="7"/>
  <c r="K128" i="7" l="1"/>
  <c r="I128" i="7" s="1"/>
  <c r="Q128" i="7" l="1"/>
  <c r="J128" i="7"/>
  <c r="M128" i="7" l="1"/>
  <c r="O128" i="7"/>
  <c r="K129" i="7" l="1"/>
  <c r="I129" i="7" s="1"/>
  <c r="Q129" i="7" l="1"/>
  <c r="J129" i="7"/>
  <c r="M129" i="7" l="1"/>
  <c r="O129" i="7"/>
  <c r="K130" i="7" l="1"/>
  <c r="I130" i="7" s="1"/>
  <c r="Q130" i="7" l="1"/>
  <c r="J130" i="7"/>
  <c r="M130" i="7" l="1"/>
  <c r="O130" i="7"/>
  <c r="K131" i="7" l="1"/>
  <c r="I131" i="7" s="1"/>
  <c r="Q131" i="7" l="1"/>
  <c r="J131" i="7"/>
  <c r="M131" i="7" l="1"/>
  <c r="O131" i="7"/>
  <c r="K132" i="7" l="1"/>
  <c r="I132" i="7" s="1"/>
  <c r="Q132" i="7" l="1"/>
  <c r="J132" i="7"/>
  <c r="M132" i="7" l="1"/>
  <c r="O132" i="7"/>
  <c r="K133" i="7" l="1"/>
  <c r="I133" i="7" s="1"/>
  <c r="J133" i="7" l="1"/>
  <c r="Q133" i="7"/>
  <c r="M133" i="7" l="1"/>
  <c r="O133" i="7"/>
  <c r="K134" i="7" l="1"/>
  <c r="I134" i="7" s="1"/>
  <c r="Q134" i="7" l="1"/>
  <c r="J134" i="7"/>
  <c r="M134" i="7" l="1"/>
  <c r="O134" i="7"/>
  <c r="K135" i="7" l="1"/>
  <c r="I135" i="7" s="1"/>
  <c r="Q135" i="7" l="1"/>
  <c r="J135" i="7"/>
  <c r="M135" i="7" l="1"/>
  <c r="O135" i="7"/>
  <c r="K136" i="7" l="1"/>
  <c r="I136" i="7" s="1"/>
  <c r="Q136" i="7" l="1"/>
  <c r="J136" i="7"/>
  <c r="M136" i="7" l="1"/>
  <c r="O136" i="7"/>
  <c r="K137" i="7" l="1"/>
  <c r="I137" i="7" s="1"/>
  <c r="Q137" i="7" l="1"/>
  <c r="J137" i="7"/>
  <c r="M137" i="7" l="1"/>
  <c r="O137" i="7"/>
  <c r="K138" i="7" l="1"/>
  <c r="I138" i="7" s="1"/>
  <c r="Q138" i="7" l="1"/>
  <c r="J138" i="7"/>
  <c r="M138" i="7" l="1"/>
  <c r="O138" i="7"/>
  <c r="K139" i="7" l="1"/>
  <c r="I139" i="7" s="1"/>
  <c r="Q139" i="7" l="1"/>
  <c r="J139" i="7"/>
  <c r="M139" i="7" l="1"/>
  <c r="O139" i="7"/>
  <c r="K140" i="7" l="1"/>
  <c r="I140" i="7" s="1"/>
  <c r="Q140" i="7" l="1"/>
  <c r="J140" i="7"/>
  <c r="M140" i="7" l="1"/>
  <c r="O140" i="7"/>
  <c r="K141" i="7" l="1"/>
  <c r="I141" i="7" s="1"/>
  <c r="Q141" i="7" l="1"/>
  <c r="J141" i="7"/>
  <c r="M141" i="7" l="1"/>
  <c r="O141" i="7"/>
  <c r="K142" i="7" l="1"/>
  <c r="I142" i="7" s="1"/>
  <c r="Q142" i="7" l="1"/>
  <c r="J142" i="7"/>
  <c r="M142" i="7" l="1"/>
  <c r="O142" i="7"/>
  <c r="K143" i="7" l="1"/>
  <c r="I143" i="7" s="1"/>
  <c r="Q143" i="7" l="1"/>
  <c r="J143" i="7"/>
  <c r="M143" i="7" l="1"/>
  <c r="O143" i="7"/>
  <c r="K144" i="7" l="1"/>
  <c r="I144" i="7" s="1"/>
  <c r="Q144" i="7" l="1"/>
  <c r="J144" i="7"/>
  <c r="M144" i="7" l="1"/>
  <c r="O144" i="7"/>
  <c r="K145" i="7" l="1"/>
  <c r="I145" i="7" s="1"/>
  <c r="Q145" i="7" l="1"/>
  <c r="J145" i="7"/>
  <c r="M145" i="7" l="1"/>
  <c r="O145" i="7"/>
  <c r="K146" i="7" l="1"/>
  <c r="I146" i="7" s="1"/>
  <c r="Q146" i="7" l="1"/>
  <c r="J146" i="7"/>
  <c r="M146" i="7" l="1"/>
  <c r="O146" i="7"/>
  <c r="K147" i="7" l="1"/>
  <c r="I147" i="7" s="1"/>
  <c r="Q147" i="7" l="1"/>
  <c r="J147" i="7"/>
  <c r="M147" i="7" l="1"/>
  <c r="O147" i="7"/>
  <c r="K148" i="7" l="1"/>
  <c r="I148" i="7" s="1"/>
  <c r="Q148" i="7" l="1"/>
  <c r="J148" i="7"/>
  <c r="M148" i="7" l="1"/>
  <c r="O148" i="7"/>
  <c r="K149" i="7" l="1"/>
  <c r="I149" i="7" s="1"/>
  <c r="Q149" i="7" l="1"/>
  <c r="J149" i="7"/>
  <c r="M149" i="7" l="1"/>
  <c r="O149" i="7"/>
  <c r="K150" i="7" l="1"/>
  <c r="I150" i="7" s="1"/>
  <c r="Q150" i="7" l="1"/>
  <c r="J150" i="7"/>
  <c r="M150" i="7" l="1"/>
  <c r="O150" i="7"/>
  <c r="K151" i="7" l="1"/>
  <c r="I151" i="7" s="1"/>
  <c r="Q151" i="7" l="1"/>
  <c r="J151" i="7"/>
  <c r="M151" i="7" l="1"/>
  <c r="O151" i="7"/>
  <c r="K152" i="7" l="1"/>
  <c r="I152" i="7" s="1"/>
  <c r="Q152" i="7" l="1"/>
  <c r="J152" i="7"/>
  <c r="M152" i="7" l="1"/>
  <c r="O152" i="7"/>
  <c r="K153" i="7" l="1"/>
  <c r="I153" i="7" s="1"/>
  <c r="Q153" i="7" l="1"/>
  <c r="J153" i="7"/>
  <c r="M153" i="7" l="1"/>
  <c r="O153" i="7"/>
  <c r="K154" i="7" l="1"/>
  <c r="I154" i="7" s="1"/>
  <c r="J154" i="7" l="1"/>
  <c r="Q154" i="7"/>
  <c r="M154" i="7" l="1"/>
  <c r="O154" i="7"/>
  <c r="K155" i="7" l="1"/>
  <c r="I155" i="7" s="1"/>
  <c r="Q155" i="7" l="1"/>
  <c r="J155" i="7"/>
  <c r="M155" i="7" l="1"/>
  <c r="O155" i="7"/>
  <c r="K156" i="7" l="1"/>
  <c r="I156" i="7" s="1"/>
  <c r="Q156" i="7" l="1"/>
  <c r="J156" i="7"/>
  <c r="M156" i="7" l="1"/>
  <c r="O156" i="7"/>
  <c r="K157" i="7" l="1"/>
  <c r="I157" i="7" s="1"/>
  <c r="Q157" i="7" l="1"/>
  <c r="J157" i="7"/>
  <c r="M157" i="7" l="1"/>
  <c r="O157" i="7"/>
  <c r="K158" i="7" l="1"/>
  <c r="I158" i="7" s="1"/>
  <c r="Q158" i="7" l="1"/>
  <c r="J158" i="7"/>
  <c r="M158" i="7" l="1"/>
  <c r="O158" i="7"/>
  <c r="K159" i="7" l="1"/>
  <c r="I159" i="7" s="1"/>
  <c r="J159" i="7" l="1"/>
  <c r="Q159" i="7"/>
  <c r="M159" i="7" l="1"/>
  <c r="O159" i="7"/>
  <c r="K160" i="7" l="1"/>
  <c r="I160" i="7" s="1"/>
  <c r="Q160" i="7" l="1"/>
  <c r="J160" i="7"/>
  <c r="M160" i="7" l="1"/>
  <c r="O160" i="7"/>
  <c r="K161" i="7" l="1"/>
  <c r="I161" i="7" s="1"/>
  <c r="Q161" i="7" l="1"/>
  <c r="J161" i="7"/>
  <c r="M161" i="7" l="1"/>
  <c r="O161" i="7"/>
  <c r="K162" i="7" l="1"/>
  <c r="I162" i="7" s="1"/>
  <c r="J162" i="7" l="1"/>
  <c r="Q162" i="7"/>
  <c r="M162" i="7" l="1"/>
  <c r="O162" i="7"/>
  <c r="K163" i="7" l="1"/>
  <c r="I163" i="7" s="1"/>
  <c r="Q163" i="7" l="1"/>
  <c r="J163" i="7"/>
  <c r="M163" i="7" l="1"/>
  <c r="O163" i="7"/>
  <c r="K164" i="7" l="1"/>
  <c r="I164" i="7" s="1"/>
  <c r="Q164" i="7" l="1"/>
  <c r="J164" i="7"/>
  <c r="M164" i="7" l="1"/>
  <c r="O164" i="7"/>
  <c r="K165" i="7" l="1"/>
  <c r="I165" i="7" s="1"/>
  <c r="Q165" i="7" l="1"/>
  <c r="J165" i="7"/>
  <c r="M165" i="7" l="1"/>
  <c r="O165" i="7"/>
  <c r="K166" i="7" l="1"/>
  <c r="I166" i="7" s="1"/>
  <c r="Q166" i="7" l="1"/>
  <c r="J166" i="7"/>
  <c r="M166" i="7" l="1"/>
  <c r="O166" i="7"/>
  <c r="K167" i="7" l="1"/>
  <c r="I167" i="7" s="1"/>
  <c r="Q167" i="7" l="1"/>
  <c r="J167" i="7"/>
  <c r="M167" i="7" l="1"/>
  <c r="O167" i="7"/>
  <c r="K168" i="7" l="1"/>
  <c r="I168" i="7" s="1"/>
  <c r="Q168" i="7" l="1"/>
  <c r="J168" i="7"/>
  <c r="M168" i="7" l="1"/>
  <c r="O168" i="7"/>
  <c r="K169" i="7" l="1"/>
  <c r="I169" i="7" s="1"/>
  <c r="Q169" i="7" l="1"/>
  <c r="J169" i="7"/>
  <c r="M169" i="7" l="1"/>
  <c r="O169" i="7"/>
  <c r="K170" i="7" l="1"/>
  <c r="I170" i="7" s="1"/>
  <c r="J170" i="7" l="1"/>
  <c r="Q170" i="7"/>
  <c r="M170" i="7" l="1"/>
  <c r="O170" i="7"/>
  <c r="K171" i="7" l="1"/>
  <c r="I171" i="7" s="1"/>
  <c r="Q171" i="7" l="1"/>
  <c r="J171" i="7"/>
  <c r="M171" i="7" l="1"/>
  <c r="O171" i="7"/>
  <c r="K172" i="7" l="1"/>
  <c r="I172" i="7" s="1"/>
  <c r="Q172" i="7" l="1"/>
  <c r="J172" i="7"/>
  <c r="M172" i="7" l="1"/>
  <c r="O172" i="7"/>
  <c r="K173" i="7" l="1"/>
  <c r="I173" i="7" s="1"/>
  <c r="Q173" i="7" l="1"/>
  <c r="J173" i="7"/>
  <c r="M173" i="7" l="1"/>
  <c r="O173" i="7"/>
  <c r="K174" i="7" l="1"/>
  <c r="I174" i="7" s="1"/>
  <c r="J174" i="7" l="1"/>
  <c r="Q174" i="7"/>
  <c r="M174" i="7" l="1"/>
  <c r="O174" i="7"/>
  <c r="K175" i="7" l="1"/>
  <c r="I175" i="7" s="1"/>
  <c r="Q175" i="7" l="1"/>
  <c r="J175" i="7"/>
  <c r="M175" i="7" l="1"/>
  <c r="O175" i="7"/>
  <c r="K176" i="7" l="1"/>
  <c r="I176" i="7" s="1"/>
  <c r="J176" i="7" l="1"/>
  <c r="Q176" i="7"/>
  <c r="M176" i="7" l="1"/>
  <c r="O176" i="7"/>
  <c r="K177" i="7" l="1"/>
  <c r="I177" i="7" s="1"/>
  <c r="J177" i="7" l="1"/>
  <c r="Q177" i="7"/>
  <c r="M177" i="7" l="1"/>
  <c r="O177" i="7"/>
  <c r="K178" i="7" l="1"/>
  <c r="I178" i="7" s="1"/>
  <c r="J178" i="7" l="1"/>
  <c r="Q178" i="7"/>
  <c r="M178" i="7" l="1"/>
  <c r="O178" i="7"/>
  <c r="K179" i="7" l="1"/>
  <c r="I179" i="7" s="1"/>
  <c r="Q179" i="7" l="1"/>
  <c r="J179" i="7"/>
  <c r="M179" i="7" l="1"/>
  <c r="O179" i="7"/>
  <c r="K180" i="7" l="1"/>
  <c r="I180" i="7" s="1"/>
  <c r="J180" i="7" l="1"/>
  <c r="Q180" i="7"/>
  <c r="M180" i="7" l="1"/>
  <c r="O180" i="7"/>
  <c r="K181" i="7" l="1"/>
  <c r="I181" i="7" s="1"/>
  <c r="Q181" i="7" l="1"/>
  <c r="J181" i="7"/>
  <c r="M181" i="7" l="1"/>
  <c r="O181" i="7"/>
  <c r="K182" i="7" l="1"/>
  <c r="I182" i="7" s="1"/>
  <c r="Q182" i="7" l="1"/>
  <c r="J182" i="7"/>
  <c r="M182" i="7" l="1"/>
  <c r="O182" i="7"/>
  <c r="K183" i="7" l="1"/>
  <c r="I183" i="7" s="1"/>
  <c r="Q183" i="7" l="1"/>
  <c r="J183" i="7"/>
  <c r="M183" i="7" l="1"/>
  <c r="O183" i="7"/>
  <c r="K184" i="7" l="1"/>
  <c r="I184" i="7" s="1"/>
  <c r="Q184" i="7" l="1"/>
  <c r="J184" i="7"/>
  <c r="M184" i="7" l="1"/>
  <c r="O184" i="7"/>
  <c r="K185" i="7" l="1"/>
  <c r="I185" i="7" s="1"/>
  <c r="Q185" i="7" l="1"/>
  <c r="J185" i="7"/>
  <c r="M185" i="7" l="1"/>
  <c r="O185" i="7"/>
  <c r="K186" i="7" l="1"/>
  <c r="I186" i="7" s="1"/>
  <c r="Q186" i="7" l="1"/>
  <c r="J186" i="7"/>
  <c r="M186" i="7" l="1"/>
  <c r="O186" i="7"/>
  <c r="K187" i="7" l="1"/>
  <c r="I187" i="7" s="1"/>
  <c r="Q187" i="7" l="1"/>
  <c r="J187" i="7"/>
  <c r="M187" i="7" l="1"/>
  <c r="O187" i="7"/>
  <c r="K188" i="7" l="1"/>
  <c r="I188" i="7" s="1"/>
  <c r="J188" i="7" l="1"/>
  <c r="Q188" i="7"/>
  <c r="M188" i="7" l="1"/>
  <c r="O188" i="7"/>
  <c r="K189" i="7" l="1"/>
  <c r="I189" i="7" s="1"/>
  <c r="J189" i="7" l="1"/>
  <c r="Q189" i="7"/>
  <c r="M189" i="7" l="1"/>
  <c r="O189" i="7"/>
  <c r="K190" i="7" l="1"/>
  <c r="I190" i="7" s="1"/>
  <c r="Q190" i="7" l="1"/>
  <c r="J190" i="7"/>
  <c r="M190" i="7" l="1"/>
  <c r="O190" i="7"/>
  <c r="K191" i="7" l="1"/>
  <c r="I191" i="7" s="1"/>
  <c r="J191" i="7" l="1"/>
  <c r="Q191" i="7"/>
  <c r="M191" i="7" l="1"/>
  <c r="O191" i="7"/>
  <c r="K192" i="7" l="1"/>
  <c r="I192" i="7" s="1"/>
  <c r="J192" i="7" l="1"/>
  <c r="Q192" i="7"/>
  <c r="M192" i="7" l="1"/>
  <c r="O192" i="7"/>
  <c r="K193" i="7" l="1"/>
  <c r="I193" i="7" s="1"/>
  <c r="J193" i="7" l="1"/>
  <c r="Q193" i="7"/>
  <c r="M193" i="7" l="1"/>
  <c r="O193" i="7"/>
  <c r="K194" i="7" l="1"/>
  <c r="I194" i="7" s="1"/>
  <c r="Q194" i="7" l="1"/>
  <c r="J194" i="7"/>
  <c r="M194" i="7" l="1"/>
  <c r="O194" i="7"/>
  <c r="K195" i="7" l="1"/>
  <c r="I195" i="7" s="1"/>
  <c r="Q195" i="7" l="1"/>
  <c r="J195" i="7"/>
  <c r="M195" i="7" l="1"/>
  <c r="O195" i="7"/>
  <c r="K196" i="7" l="1"/>
  <c r="I196" i="7" s="1"/>
  <c r="J196" i="7" l="1"/>
  <c r="Q196" i="7"/>
  <c r="M196" i="7" l="1"/>
  <c r="O196" i="7"/>
  <c r="K197" i="7" l="1"/>
  <c r="I197" i="7" s="1"/>
  <c r="Q197" i="7" l="1"/>
  <c r="J197" i="7"/>
  <c r="M197" i="7" l="1"/>
  <c r="O197" i="7"/>
  <c r="K198" i="7" l="1"/>
  <c r="I198" i="7" s="1"/>
  <c r="J198" i="7" l="1"/>
  <c r="Q198" i="7"/>
  <c r="M198" i="7" l="1"/>
  <c r="O198" i="7"/>
  <c r="K199" i="7" l="1"/>
  <c r="I199" i="7" s="1"/>
  <c r="Q199" i="7" l="1"/>
  <c r="J199" i="7"/>
  <c r="M199" i="7" l="1"/>
  <c r="O199" i="7"/>
  <c r="K200" i="7" l="1"/>
  <c r="I200" i="7" s="1"/>
  <c r="J200" i="7" l="1"/>
  <c r="Q200" i="7"/>
  <c r="M200" i="7" l="1"/>
  <c r="O200" i="7"/>
  <c r="K201" i="7" l="1"/>
  <c r="I201" i="7" s="1"/>
  <c r="Q201" i="7" l="1"/>
  <c r="J201" i="7"/>
  <c r="M201" i="7" l="1"/>
  <c r="O201" i="7"/>
  <c r="K202" i="7" l="1"/>
  <c r="I202" i="7" s="1"/>
  <c r="J202" i="7" l="1"/>
  <c r="Q202" i="7"/>
  <c r="M202" i="7" l="1"/>
  <c r="O202" i="7"/>
  <c r="K203" i="7" l="1"/>
  <c r="I203" i="7" s="1"/>
  <c r="Q203" i="7" l="1"/>
  <c r="J203" i="7"/>
  <c r="M203" i="7" l="1"/>
  <c r="O203" i="7"/>
  <c r="K204" i="7" l="1"/>
  <c r="I204" i="7" s="1"/>
  <c r="Q204" i="7" l="1"/>
  <c r="J204" i="7"/>
  <c r="M204" i="7" l="1"/>
  <c r="O204" i="7"/>
  <c r="K205" i="7" l="1"/>
  <c r="I205" i="7" s="1"/>
  <c r="Q205" i="7" l="1"/>
  <c r="J205" i="7"/>
  <c r="M205" i="7" l="1"/>
  <c r="O205" i="7"/>
  <c r="K206" i="7" l="1"/>
  <c r="I206" i="7" s="1"/>
  <c r="Q206" i="7" l="1"/>
  <c r="J206" i="7"/>
  <c r="M206" i="7" l="1"/>
  <c r="O206" i="7"/>
  <c r="K207" i="7" l="1"/>
  <c r="I207" i="7" s="1"/>
  <c r="J207" i="7" l="1"/>
  <c r="Q207" i="7"/>
  <c r="M207" i="7" l="1"/>
  <c r="O207" i="7"/>
  <c r="K208" i="7" l="1"/>
  <c r="I208" i="7" s="1"/>
  <c r="J208" i="7" l="1"/>
  <c r="Q208" i="7"/>
  <c r="M208" i="7" l="1"/>
  <c r="O208" i="7"/>
  <c r="K209" i="7" l="1"/>
  <c r="I209" i="7" s="1"/>
  <c r="J209" i="7" l="1"/>
  <c r="Q209" i="7"/>
  <c r="M209" i="7" l="1"/>
  <c r="O209" i="7"/>
  <c r="K210" i="7" l="1"/>
  <c r="I210" i="7" s="1"/>
  <c r="J210" i="7" l="1"/>
  <c r="Q210" i="7"/>
  <c r="M210" i="7" l="1"/>
  <c r="O210" i="7"/>
  <c r="K211" i="7" l="1"/>
  <c r="I211" i="7" s="1"/>
  <c r="J211" i="7" l="1"/>
  <c r="Q211" i="7"/>
  <c r="M211" i="7" l="1"/>
  <c r="O211" i="7"/>
  <c r="K212" i="7" l="1"/>
  <c r="I212" i="7" s="1"/>
  <c r="Q212" i="7" l="1"/>
  <c r="J212" i="7"/>
  <c r="M212" i="7" l="1"/>
  <c r="O212" i="7"/>
  <c r="K213" i="7" l="1"/>
  <c r="I213" i="7" s="1"/>
  <c r="Q213" i="7" l="1"/>
  <c r="J213" i="7"/>
  <c r="M213" i="7" l="1"/>
  <c r="O213" i="7"/>
  <c r="K214" i="7" l="1"/>
  <c r="I214" i="7" s="1"/>
  <c r="Q214" i="7" l="1"/>
  <c r="J214" i="7"/>
  <c r="M214" i="7" l="1"/>
  <c r="O214" i="7"/>
  <c r="K215" i="7" l="1"/>
  <c r="I215" i="7" s="1"/>
  <c r="Q215" i="7" l="1"/>
  <c r="J215" i="7"/>
  <c r="M215" i="7" l="1"/>
  <c r="O215" i="7"/>
  <c r="K216" i="7" l="1"/>
  <c r="I216" i="7" s="1"/>
  <c r="J216" i="7" l="1"/>
  <c r="Q216" i="7"/>
  <c r="M216" i="7" l="1"/>
  <c r="O216" i="7"/>
  <c r="K217" i="7" l="1"/>
  <c r="I217" i="7" s="1"/>
  <c r="Q217" i="7" l="1"/>
  <c r="J217" i="7"/>
  <c r="M217" i="7" l="1"/>
  <c r="O217" i="7"/>
  <c r="K218" i="7" l="1"/>
  <c r="I218" i="7" s="1"/>
  <c r="Q218" i="7" l="1"/>
  <c r="J218" i="7"/>
  <c r="M218" i="7" l="1"/>
  <c r="O218" i="7"/>
  <c r="K219" i="7" l="1"/>
  <c r="I219" i="7" s="1"/>
  <c r="Q219" i="7" l="1"/>
  <c r="J219" i="7"/>
  <c r="M219" i="7" l="1"/>
  <c r="O219" i="7"/>
  <c r="K220" i="7" l="1"/>
  <c r="I220" i="7" s="1"/>
  <c r="Q220" i="7" l="1"/>
  <c r="J220" i="7"/>
  <c r="M220" i="7" l="1"/>
  <c r="O220" i="7"/>
  <c r="K221" i="7" l="1"/>
  <c r="I221" i="7" s="1"/>
  <c r="Q221" i="7" l="1"/>
  <c r="J221" i="7"/>
  <c r="M221" i="7" l="1"/>
  <c r="O221" i="7"/>
  <c r="K222" i="7" l="1"/>
  <c r="I222" i="7" s="1"/>
  <c r="Q222" i="7" l="1"/>
  <c r="J222" i="7"/>
  <c r="M222" i="7" l="1"/>
  <c r="O222" i="7"/>
  <c r="K223" i="7" l="1"/>
  <c r="I223" i="7" s="1"/>
  <c r="Q223" i="7" l="1"/>
  <c r="J223" i="7"/>
  <c r="M223" i="7" l="1"/>
  <c r="O223" i="7"/>
  <c r="K224" i="7" l="1"/>
  <c r="I224" i="7" s="1"/>
  <c r="Q224" i="7" l="1"/>
  <c r="J224" i="7"/>
  <c r="M224" i="7" l="1"/>
  <c r="O224" i="7"/>
  <c r="K225" i="7" l="1"/>
  <c r="I225" i="7" s="1"/>
  <c r="Q225" i="7" l="1"/>
  <c r="J225" i="7"/>
  <c r="M225" i="7" l="1"/>
  <c r="O225" i="7"/>
  <c r="K226" i="7" l="1"/>
  <c r="I226" i="7" s="1"/>
  <c r="Q226" i="7" l="1"/>
  <c r="J226" i="7"/>
  <c r="M226" i="7" l="1"/>
  <c r="O226" i="7"/>
  <c r="K227" i="7" l="1"/>
  <c r="I227" i="7" s="1"/>
  <c r="Q227" i="7" l="1"/>
  <c r="J227" i="7"/>
  <c r="M227" i="7" l="1"/>
  <c r="O227" i="7"/>
  <c r="K228" i="7" l="1"/>
  <c r="I228" i="7" s="1"/>
  <c r="Q228" i="7" l="1"/>
  <c r="J228" i="7"/>
  <c r="M228" i="7" l="1"/>
  <c r="O228" i="7"/>
  <c r="K229" i="7" l="1"/>
  <c r="I229" i="7" s="1"/>
  <c r="J229" i="7" l="1"/>
  <c r="Q229" i="7"/>
  <c r="M229" i="7" l="1"/>
  <c r="O229" i="7"/>
  <c r="K230" i="7" l="1"/>
  <c r="I230" i="7" s="1"/>
  <c r="J230" i="7" l="1"/>
  <c r="Q230" i="7"/>
  <c r="M230" i="7" l="1"/>
  <c r="O230" i="7"/>
  <c r="K231" i="7" l="1"/>
  <c r="I231" i="7" s="1"/>
  <c r="Q231" i="7" l="1"/>
  <c r="J231" i="7"/>
  <c r="M231" i="7" l="1"/>
  <c r="O231" i="7"/>
  <c r="K232" i="7" l="1"/>
  <c r="I232" i="7" s="1"/>
  <c r="J232" i="7" l="1"/>
  <c r="Q232" i="7"/>
  <c r="M232" i="7" l="1"/>
  <c r="O232" i="7"/>
  <c r="K233" i="7" l="1"/>
  <c r="I233" i="7" s="1"/>
  <c r="J233" i="7" l="1"/>
  <c r="Q233" i="7"/>
  <c r="M233" i="7" l="1"/>
  <c r="O233" i="7"/>
  <c r="K234" i="7" l="1"/>
  <c r="I234" i="7" s="1"/>
  <c r="J234" i="7" l="1"/>
  <c r="Q234" i="7"/>
  <c r="M234" i="7" l="1"/>
  <c r="O234" i="7"/>
  <c r="K235" i="7" l="1"/>
  <c r="I235" i="7" s="1"/>
  <c r="J235" i="7" l="1"/>
  <c r="Q235" i="7"/>
  <c r="M235" i="7" l="1"/>
  <c r="O235" i="7"/>
  <c r="K236" i="7" l="1"/>
  <c r="I236" i="7" s="1"/>
  <c r="J236" i="7" l="1"/>
  <c r="Q236" i="7"/>
  <c r="M236" i="7" l="1"/>
  <c r="O236" i="7"/>
  <c r="K237" i="7" l="1"/>
  <c r="I237" i="7" s="1"/>
  <c r="Q237" i="7" l="1"/>
  <c r="J237" i="7"/>
  <c r="M237" i="7" l="1"/>
  <c r="O237" i="7"/>
  <c r="K238" i="7" l="1"/>
  <c r="I238" i="7" s="1"/>
  <c r="J238" i="7" l="1"/>
  <c r="Q238" i="7"/>
  <c r="M238" i="7" l="1"/>
  <c r="O238" i="7"/>
  <c r="K239" i="7" l="1"/>
  <c r="I239" i="7" s="1"/>
  <c r="Q239" i="7" l="1"/>
  <c r="J239" i="7"/>
  <c r="M239" i="7" l="1"/>
  <c r="O239" i="7"/>
  <c r="K240" i="7" l="1"/>
  <c r="I240" i="7" s="1"/>
  <c r="J240" i="7" l="1"/>
  <c r="Q240" i="7"/>
  <c r="M240" i="7" l="1"/>
  <c r="O240" i="7"/>
  <c r="K241" i="7" l="1"/>
  <c r="I241" i="7" s="1"/>
  <c r="J241" i="7" l="1"/>
  <c r="Q241" i="7"/>
  <c r="M241" i="7" l="1"/>
  <c r="O241" i="7"/>
  <c r="K242" i="7" l="1"/>
  <c r="I242" i="7" s="1"/>
  <c r="J242" i="7" l="1"/>
  <c r="Q242" i="7"/>
  <c r="M242" i="7" l="1"/>
  <c r="O242" i="7"/>
  <c r="K243" i="7" l="1"/>
  <c r="I243" i="7" s="1"/>
  <c r="Q243" i="7" l="1"/>
  <c r="J243" i="7"/>
  <c r="M243" i="7" l="1"/>
  <c r="O243" i="7"/>
  <c r="K244" i="7" l="1"/>
  <c r="I244" i="7" s="1"/>
  <c r="J244" i="7" l="1"/>
  <c r="Q244" i="7"/>
  <c r="M244" i="7" l="1"/>
  <c r="O244" i="7"/>
  <c r="K245" i="7" l="1"/>
  <c r="I245" i="7" s="1"/>
  <c r="Q245" i="7" l="1"/>
  <c r="J245" i="7"/>
  <c r="M245" i="7" l="1"/>
  <c r="O245" i="7"/>
  <c r="K246" i="7" l="1"/>
  <c r="I246" i="7" s="1"/>
  <c r="J246" i="7" l="1"/>
  <c r="Q246" i="7"/>
  <c r="M246" i="7" l="1"/>
  <c r="O246" i="7"/>
  <c r="K247" i="7" l="1"/>
  <c r="I247" i="7" s="1"/>
  <c r="J247" i="7" s="1"/>
  <c r="M247" i="7" s="1"/>
  <c r="O247" i="7" l="1"/>
  <c r="O24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Білокриницька Марія Станіславівна</author>
  </authors>
  <commentList>
    <comment ref="X2" authorId="0" shapeId="0" xr:uid="{5EAB5B54-CEA2-4308-9E6F-FF7BCF792A0A}">
      <text>
        <r>
          <rPr>
            <b/>
            <sz val="9"/>
            <color indexed="81"/>
            <rFont val="Tahoma"/>
            <family val="2"/>
            <charset val="204"/>
          </rPr>
          <t>умова заповнення решти параметрів</t>
        </r>
      </text>
    </comment>
  </commentList>
</comments>
</file>

<file path=xl/sharedStrings.xml><?xml version="1.0" encoding="utf-8"?>
<sst xmlns="http://schemas.openxmlformats.org/spreadsheetml/2006/main" count="864" uniqueCount="542">
  <si>
    <t>Вид підприємницької діяльності</t>
  </si>
  <si>
    <t>ВФЗД - витрати за діючими кредитами</t>
  </si>
  <si>
    <t>ПВЗ - потенційні витрати за відкритими кредитними заявками в Банку</t>
  </si>
  <si>
    <t>А - аліменти за відповідний період</t>
  </si>
  <si>
    <t>n - фактична к-сть місяців, впродовж яких боржник отримував доходи у вигляді з/п (від 3-ьох до 6-ти міс)</t>
  </si>
  <si>
    <t>ДП - сума доходу боржника у вигляді пенсії за останній міс</t>
  </si>
  <si>
    <t>СД - сума вкладу</t>
  </si>
  <si>
    <t>Схема погашення</t>
  </si>
  <si>
    <t>сімейний стан</t>
  </si>
  <si>
    <t>к-сть дітей</t>
  </si>
  <si>
    <t>Місце проживання</t>
  </si>
  <si>
    <t>Місце реєстрації</t>
  </si>
  <si>
    <t>Місце знаходження нерухомості, яка придбавається</t>
  </si>
  <si>
    <t>№</t>
  </si>
  <si>
    <t>Місто</t>
  </si>
  <si>
    <t>Область ,АРК, міськрада</t>
  </si>
  <si>
    <t>Група</t>
  </si>
  <si>
    <t>МП</t>
  </si>
  <si>
    <t>Примітка</t>
  </si>
  <si>
    <t>м. Київ</t>
  </si>
  <si>
    <t>Київська</t>
  </si>
  <si>
    <t>Київ</t>
  </si>
  <si>
    <t>м. Харків</t>
  </si>
  <si>
    <t>Харківська</t>
  </si>
  <si>
    <t>Великі міста</t>
  </si>
  <si>
    <t>міста і міськради із чисельністю населення 100 тис. осіб і більше</t>
  </si>
  <si>
    <t>м. Одеса</t>
  </si>
  <si>
    <t>Одеська</t>
  </si>
  <si>
    <t>м. Дніпро</t>
  </si>
  <si>
    <t>Дніпропетровська</t>
  </si>
  <si>
    <t>м. Донецьк</t>
  </si>
  <si>
    <t>Донецька</t>
  </si>
  <si>
    <t>м. Запоріжжя</t>
  </si>
  <si>
    <t>Запорізька</t>
  </si>
  <si>
    <t>м. Львів</t>
  </si>
  <si>
    <t>Львівська</t>
  </si>
  <si>
    <t>м. Кривий Ріг</t>
  </si>
  <si>
    <t>м. Миколаїв</t>
  </si>
  <si>
    <t>Миколаївська</t>
  </si>
  <si>
    <t>м. Маріуполь</t>
  </si>
  <si>
    <t>м. Севастополь</t>
  </si>
  <si>
    <t>Севастополь</t>
  </si>
  <si>
    <t>м. Луганськ</t>
  </si>
  <si>
    <t>Луганська</t>
  </si>
  <si>
    <t>м. Вінниця</t>
  </si>
  <si>
    <t>Вінницька</t>
  </si>
  <si>
    <t>м. Сімферополь</t>
  </si>
  <si>
    <t>АР Крим</t>
  </si>
  <si>
    <t>м. Макіївка</t>
  </si>
  <si>
    <t>м. Херсон</t>
  </si>
  <si>
    <t>Херсонська</t>
  </si>
  <si>
    <t>м. Чернігів</t>
  </si>
  <si>
    <t>Чернігівська</t>
  </si>
  <si>
    <t>м. Полтава</t>
  </si>
  <si>
    <t>Полтавська</t>
  </si>
  <si>
    <t>м. Черкаси</t>
  </si>
  <si>
    <t>Черкаська</t>
  </si>
  <si>
    <t>м. Хмельницький</t>
  </si>
  <si>
    <t>Хмельницька</t>
  </si>
  <si>
    <t>м. Чернівці</t>
  </si>
  <si>
    <t>Чернівецька</t>
  </si>
  <si>
    <t>м. Житомир</t>
  </si>
  <si>
    <t>Житомирська</t>
  </si>
  <si>
    <t>м. Суми</t>
  </si>
  <si>
    <t>Сумська</t>
  </si>
  <si>
    <t>м. Рівне</t>
  </si>
  <si>
    <t>Рівненська</t>
  </si>
  <si>
    <t>м. Горлівка</t>
  </si>
  <si>
    <t>м. Івано-Франківськ</t>
  </si>
  <si>
    <t>Івано-Франківська</t>
  </si>
  <si>
    <t>м. Кам'янське</t>
  </si>
  <si>
    <t>м. Кропивницький</t>
  </si>
  <si>
    <t>Кіровоградська</t>
  </si>
  <si>
    <t>м. Тернопіль</t>
  </si>
  <si>
    <t>Тернопільська</t>
  </si>
  <si>
    <t>м. Кременчук</t>
  </si>
  <si>
    <t>м. Луцьк</t>
  </si>
  <si>
    <t>Волинська</t>
  </si>
  <si>
    <t>м. Біла Церква</t>
  </si>
  <si>
    <t>м. Краматорськ</t>
  </si>
  <si>
    <t>м. Мелітополь</t>
  </si>
  <si>
    <t>м. Керч</t>
  </si>
  <si>
    <t>м. Ужгород</t>
  </si>
  <si>
    <t>Закарпатська</t>
  </si>
  <si>
    <t>м. Бердянськ</t>
  </si>
  <si>
    <t>м. Нікополь</t>
  </si>
  <si>
    <t>м. Слов'янськ</t>
  </si>
  <si>
    <t>м. Бровари</t>
  </si>
  <si>
    <t>м. Євпаторія</t>
  </si>
  <si>
    <t>м. Алчевськ</t>
  </si>
  <si>
    <t>м. Павлоград</t>
  </si>
  <si>
    <t>м. Сєвєродонецьк</t>
  </si>
  <si>
    <t>Інші (малі міста, сільська місцевість)</t>
  </si>
  <si>
    <t>-</t>
  </si>
  <si>
    <t>Інші</t>
  </si>
  <si>
    <t>міста, селища міського типу, міськради і селищні ради із чисельністю населення менше 100 тис. осіб</t>
  </si>
  <si>
    <t>дата народження</t>
  </si>
  <si>
    <t>Дохід у вигляді з/п</t>
  </si>
  <si>
    <t>Дохід у вигляді пенсії</t>
  </si>
  <si>
    <t>Дохід у вигляді підприємницького доходу</t>
  </si>
  <si>
    <t>Дохід у вигляді вкладу</t>
  </si>
  <si>
    <t>Дохід у вигляді дивідендів</t>
  </si>
  <si>
    <t xml:space="preserve">Дохід у вигляді оренди, незалежної професійної діяльності, ін доходів </t>
  </si>
  <si>
    <t>Витрати</t>
  </si>
  <si>
    <t>Боржник</t>
  </si>
  <si>
    <t>Подружжя</t>
  </si>
  <si>
    <t>Загальна сума заборгованості за усіма діючими кредитами в АТ "КРЕДОБАНК"</t>
  </si>
  <si>
    <r>
      <t xml:space="preserve">Б1КРЕДО - сукупна заборгованість </t>
    </r>
    <r>
      <rPr>
        <sz val="11"/>
        <color rgb="FFFF0000"/>
        <rFont val="Calibri"/>
        <family val="2"/>
        <charset val="204"/>
        <scheme val="minor"/>
      </rPr>
      <t>клієнта</t>
    </r>
    <r>
      <rPr>
        <sz val="11"/>
        <rFont val="Calibri"/>
        <family val="2"/>
        <scheme val="minor"/>
      </rPr>
      <t xml:space="preserve">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</si>
  <si>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Б1ПО - сукупна заборгованість </t>
    </r>
    <r>
      <rPr>
        <sz val="11"/>
        <color rgb="FFFF0000"/>
        <rFont val="Calibri"/>
        <family val="2"/>
        <charset val="204"/>
        <scheme val="minor"/>
      </rPr>
      <t>усіх пов’язаних</t>
    </r>
    <r>
      <rPr>
        <sz val="11"/>
        <rFont val="Calibri"/>
        <family val="2"/>
        <scheme val="minor"/>
      </rPr>
      <t xml:space="preserve"> з клієнтом фізичних осіб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</si>
  <si>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Б1ЗА - сукупна заборгованість, яку </t>
    </r>
    <r>
      <rPr>
        <sz val="11"/>
        <color rgb="FFFF0000"/>
        <rFont val="Calibri"/>
        <family val="2"/>
        <charset val="204"/>
        <scheme val="minor"/>
      </rPr>
      <t>може отримати клієнт</t>
    </r>
    <r>
      <rPr>
        <sz val="11"/>
        <color theme="1"/>
        <rFont val="Calibri"/>
        <family val="2"/>
        <scheme val="minor"/>
      </rPr>
      <t xml:space="preserve">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</si>
  <si>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r>
      <t xml:space="preserve">Б1ЗАПО - сукупна заборгованість, яку </t>
    </r>
    <r>
      <rPr>
        <sz val="11"/>
        <color rgb="FFFF0000"/>
        <rFont val="Calibri"/>
        <family val="2"/>
        <charset val="204"/>
        <scheme val="minor"/>
      </rPr>
      <t>можуть отримати пов’язані</t>
    </r>
    <r>
      <rPr>
        <sz val="11"/>
        <color theme="1"/>
        <rFont val="Calibri"/>
        <family val="2"/>
        <scheme val="minor"/>
      </rPr>
      <t xml:space="preserve"> з клієнтом фізичні особи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</si>
  <si>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t>L1</t>
  </si>
  <si>
    <t>ММСК</t>
  </si>
  <si>
    <t>ЗКП</t>
  </si>
  <si>
    <t>L2</t>
  </si>
  <si>
    <t>СМД зарплата</t>
  </si>
  <si>
    <t>СМД пенсія</t>
  </si>
  <si>
    <t>СМД підприємницький дохід</t>
  </si>
  <si>
    <t>СМД вклад</t>
  </si>
  <si>
    <t>СМД дивіденди</t>
  </si>
  <si>
    <t>СМД оренда</t>
  </si>
  <si>
    <t>КВ - коефіцієнт витрат</t>
  </si>
  <si>
    <t>Виробництво</t>
  </si>
  <si>
    <t>Надання інтелектуальних послуг</t>
  </si>
  <si>
    <t>Надання послуг з розробки програмного забезпечення та інформатизації</t>
  </si>
  <si>
    <t>Торгівельна, торгово-посередницька діяльність, надання інших послуг</t>
  </si>
  <si>
    <t>Надання в оренду власних житлових та нежитлових приміщень/власних ТЗ</t>
  </si>
  <si>
    <t>СМД боржника/СМД подружжя</t>
  </si>
  <si>
    <t>СМДС</t>
  </si>
  <si>
    <t>L3</t>
  </si>
  <si>
    <t>УВК ПР (%)</t>
  </si>
  <si>
    <t>УВК (%)</t>
  </si>
  <si>
    <t>L4</t>
  </si>
  <si>
    <t>PTI</t>
  </si>
  <si>
    <t>ОПК</t>
  </si>
  <si>
    <t>ОПК ануїтет</t>
  </si>
  <si>
    <t>ОПК класика</t>
  </si>
  <si>
    <t>L5</t>
  </si>
  <si>
    <t>КФН</t>
  </si>
  <si>
    <t>I</t>
  </si>
  <si>
    <t>МП1</t>
  </si>
  <si>
    <t>МП2</t>
  </si>
  <si>
    <t>МП3</t>
  </si>
  <si>
    <t>m</t>
  </si>
  <si>
    <t>ФВ</t>
  </si>
  <si>
    <t>ОПК =  (r/1200*(1 + r/1200)^T) / (((1 + r/1200)^T) - 1) + j/100 - ануїтет</t>
  </si>
  <si>
    <t>ОПК= 1/Т+r/100*31/360+j/100 - класична</t>
  </si>
  <si>
    <t>L6</t>
  </si>
  <si>
    <t>не застосовується</t>
  </si>
  <si>
    <t>L7</t>
  </si>
  <si>
    <t>МЛскз</t>
  </si>
  <si>
    <t>ЗКЗ</t>
  </si>
  <si>
    <t>L8</t>
  </si>
  <si>
    <t>L9</t>
  </si>
  <si>
    <t>L10</t>
  </si>
  <si>
    <t>L11</t>
  </si>
  <si>
    <t>L12</t>
  </si>
  <si>
    <t>L13</t>
  </si>
  <si>
    <t>LTV</t>
  </si>
  <si>
    <t>Коефіцієнт витрат, пов’язаних з веденням підприємницької діяльності (у % до суми валового доходу)</t>
  </si>
  <si>
    <t>L</t>
  </si>
  <si>
    <t>Доступна сума кредиту L</t>
  </si>
  <si>
    <t>Константи</t>
  </si>
  <si>
    <t>Не зазначено</t>
  </si>
  <si>
    <t>Розрахунок суми</t>
  </si>
  <si>
    <t>Розрахунок класу</t>
  </si>
  <si>
    <t>СЧД</t>
  </si>
  <si>
    <t>КПП</t>
  </si>
  <si>
    <t>КВБ</t>
  </si>
  <si>
    <t>КЗ</t>
  </si>
  <si>
    <t>Д</t>
  </si>
  <si>
    <t>Квартал в якому клієнт звернувся за отриманням кредиту</t>
  </si>
  <si>
    <t>Річна сума доходу, отримана позичальником від п.д. за звітний рік, що передує поточному</t>
  </si>
  <si>
    <t>Визначення динаміки доходів від підприємницької діяльності</t>
  </si>
  <si>
    <t>Дпоточ</t>
  </si>
  <si>
    <t>Дмин</t>
  </si>
  <si>
    <t>макс міс платіж</t>
  </si>
  <si>
    <t>сер сук чистий дохід</t>
  </si>
  <si>
    <t>коеф платоспром</t>
  </si>
  <si>
    <t>коеф витрат на обсл боргу</t>
  </si>
  <si>
    <t>коеф забезп</t>
  </si>
  <si>
    <t>динаміка доходів від підприємницької діяльності</t>
  </si>
  <si>
    <t>Кількісні</t>
  </si>
  <si>
    <t>Якісні</t>
  </si>
  <si>
    <t>Трудовий стаж за основним місцем праці</t>
  </si>
  <si>
    <t>Майновий стан</t>
  </si>
  <si>
    <t>Вік</t>
  </si>
  <si>
    <t>Сімейний стан &amp; Діти</t>
  </si>
  <si>
    <t>Динаміка доходів</t>
  </si>
  <si>
    <t>для фізичних осіб, що здійснюють підприємницьку діяльність та незалежну професійну діяльність</t>
  </si>
  <si>
    <t>Д ≥ 10 %</t>
  </si>
  <si>
    <t>0 ≤ Д &lt; 10%</t>
  </si>
  <si>
    <t>Дмин. ≤ 0, Дпоточ. &gt; 0, або</t>
  </si>
  <si>
    <t>Дмин-1 &lt; 0, Дмин &gt; 0</t>
  </si>
  <si>
    <t>-10%  ≤ Д &lt; 0</t>
  </si>
  <si>
    <t>Д &lt; -10%, або</t>
  </si>
  <si>
    <t>Дмин ≤ 0, Дпоточ ≤ 0 (Дмин-1 ≤ 0, Дмин ≤ 0), або</t>
  </si>
  <si>
    <t>Дмин &gt; 0 Дпоточ ≤ 0 (Дмин-1 &gt; 0, Дмин ≤ 0)</t>
  </si>
  <si>
    <t>Дмин-1 = 0, Дмин &gt; 0</t>
  </si>
  <si>
    <t>Дмин = 0, Дпоточ &gt; 0</t>
  </si>
  <si>
    <t>Трудовий стаж за основним місцем праці, міс</t>
  </si>
  <si>
    <t>Автомобіль</t>
  </si>
  <si>
    <t>Будинок</t>
  </si>
  <si>
    <t>Земельна ділянка</t>
  </si>
  <si>
    <t>Квартира</t>
  </si>
  <si>
    <t>Інша власність</t>
  </si>
  <si>
    <t>Кількість днів прострочки</t>
  </si>
  <si>
    <t>1)</t>
  </si>
  <si>
    <t>2)</t>
  </si>
  <si>
    <t>3)</t>
  </si>
  <si>
    <t>4)</t>
  </si>
  <si>
    <t>Обов'язкові до заповнення всі клітинки (так/ні)</t>
  </si>
  <si>
    <t>КД - кількість днів прострочки на момент розрахунку</t>
  </si>
  <si>
    <t>Дмин-1</t>
  </si>
  <si>
    <t>ММП</t>
  </si>
  <si>
    <t>S</t>
  </si>
  <si>
    <t>Інтегральна оцінка</t>
  </si>
  <si>
    <t>Показник 1</t>
  </si>
  <si>
    <t>Показник 2</t>
  </si>
  <si>
    <t>Показник 3</t>
  </si>
  <si>
    <t xml:space="preserve">Показник 1 </t>
  </si>
  <si>
    <t>3 000 ≤ S &lt; 3 500</t>
  </si>
  <si>
    <t>2 000 ≤ S &lt;3 000</t>
  </si>
  <si>
    <t>1 250 ≤  S &lt; 2 000</t>
  </si>
  <si>
    <t>S &lt; 1 250</t>
  </si>
  <si>
    <t>Сукупний розмір внесків боржника на погашення боргу (Показник 2 )</t>
  </si>
  <si>
    <t>Кофіцієнт витрат на обслуговування боргу</t>
  </si>
  <si>
    <t xml:space="preserve">Показник 2 </t>
  </si>
  <si>
    <t>КВБ ≤ 0,5</t>
  </si>
  <si>
    <t>0,5 &lt; КВБ ≤ 0,6</t>
  </si>
  <si>
    <t>0,6 &lt; КВБ ≤ 0,7</t>
  </si>
  <si>
    <t>0,7 &lt; КВБ ≤ 0,8</t>
  </si>
  <si>
    <t>КВБ &gt; 0,8</t>
  </si>
  <si>
    <t>Кількість календарних днів прострочення погашення боргу (Показник 3)</t>
  </si>
  <si>
    <t>Кількість календарних днів прострочення погашення боргу</t>
  </si>
  <si>
    <t>Кількість днів ≤ 7 днів</t>
  </si>
  <si>
    <t>8≤ Кількість днів ≤30</t>
  </si>
  <si>
    <t>31≤ Кількість днів ≤ 60</t>
  </si>
  <si>
    <t>61≤ Кількість днів ≤ 90</t>
  </si>
  <si>
    <t>Кількість днів ≥ 91</t>
  </si>
  <si>
    <t>Інтегральна оцінки боржника (Показник 1 )</t>
  </si>
  <si>
    <r>
      <t>Інтегральна оцінка</t>
    </r>
    <r>
      <rPr>
        <sz val="11"/>
        <color theme="1"/>
        <rFont val="Times New Roman"/>
        <family val="1"/>
        <charset val="204"/>
      </rPr>
      <t xml:space="preserve"> б</t>
    </r>
    <r>
      <rPr>
        <b/>
        <sz val="11"/>
        <color theme="1"/>
        <rFont val="Times New Roman"/>
        <family val="1"/>
        <charset val="204"/>
      </rPr>
      <t>оржника</t>
    </r>
  </si>
  <si>
    <r>
      <t xml:space="preserve">S </t>
    </r>
    <r>
      <rPr>
        <sz val="11"/>
        <color theme="1"/>
        <rFont val="Symbol"/>
        <family val="1"/>
        <charset val="2"/>
      </rPr>
      <t>³</t>
    </r>
    <r>
      <rPr>
        <sz val="11"/>
        <color theme="1"/>
        <rFont val="Times New Roman"/>
        <family val="1"/>
        <charset val="204"/>
      </rPr>
      <t xml:space="preserve"> 3 500</t>
    </r>
  </si>
  <si>
    <t>Таблиця балів</t>
  </si>
  <si>
    <t>Кількісні показники</t>
  </si>
  <si>
    <t>Коефіцієнт плато-спроможності позичальника
(КПП)</t>
  </si>
  <si>
    <t>КПП &gt; 1,15</t>
  </si>
  <si>
    <t>1,1&lt; КПП ≤ 1,15</t>
  </si>
  <si>
    <t>1,05 &lt; КПП ≤ 1,1</t>
  </si>
  <si>
    <t>1 &lt; КПП ≤ 1,05</t>
  </si>
  <si>
    <t>0,5 &lt; КПП ≤ 1</t>
  </si>
  <si>
    <t>КПП ≤ 0,5</t>
  </si>
  <si>
    <t xml:space="preserve">Коефіцієнт забезпечення </t>
  </si>
  <si>
    <t>КЗ &lt; 0,5</t>
  </si>
  <si>
    <t>КЗ ≥  1,3</t>
  </si>
  <si>
    <t>Коефіцієнт витрат на обслуговування боргу
(КВБ)</t>
  </si>
  <si>
    <t>КВБ &lt; 0,85</t>
  </si>
  <si>
    <t>Сукупні чисті надходження (СЧД)</t>
  </si>
  <si>
    <t>СЧД ≥ ММП</t>
  </si>
  <si>
    <t>СЧД &lt; ММП</t>
  </si>
  <si>
    <t>Якісні показники</t>
  </si>
  <si>
    <t>менший або рівний 35 місяців</t>
  </si>
  <si>
    <t>більший 35 місяців, але менший або рівний 83 місяців</t>
  </si>
  <si>
    <t>більший 83 місяців, але менший або рівний 195 місяців</t>
  </si>
  <si>
    <t>більший 195 місяців</t>
  </si>
  <si>
    <t>автомобіль, будинок; 
автомобіль, будинок, інша власність; 
автомобіль, інша власність; 
земельна ділянка, автомобіль; 
квартира, автомобіль, будинок; 
квартира, будинок; 
квартира, будинок, земельна ділянка; 
квартира, будинок, інша власність;</t>
  </si>
  <si>
    <t>автомобіль, будинок, земельна ділянка; 
будинок; 
будинок, автомобіль, земельна ділянка, інша власність; 
будинок, інша власність; 
земельна ділянка, інша власність; 
квартира,; 
квартира, автомобіль, земельна ділянка, інша власність</t>
  </si>
  <si>
    <t>автомобіль; 
квартира, автомобіль, будинок, земельна ділянка; 
квартира, автомобіль, земельна ділянка; 
квартира, автомобіль, інша власність; 
квартира, земельна ділянка; 
квартира, інша власність; 
Не має жодного майна у власності; 
квартира, автомобіль; 
земельна ділянка;</t>
  </si>
  <si>
    <t>автомобіль, земельна ділянка, інша власність; 
будинок, земельна ділянка; 
будинок, земельна ділянка, інша власність; 
інша власність; 
квартира, автомобіль, будинок, земельна ділянка, інша власність; 
квартира, будинок, земельна ділянка, інша власність; 
квартира, земельна ділянка, інша власність;</t>
  </si>
  <si>
    <t>менший або рівний 25 років</t>
  </si>
  <si>
    <t>більший 25 років, але менший або рівний 40 років</t>
  </si>
  <si>
    <t>більший 40 років, але менший або рівний 48 років</t>
  </si>
  <si>
    <t>більший 48 років, але менший або рівний 55 років</t>
  </si>
  <si>
    <t>більший 55 років</t>
  </si>
  <si>
    <t>не одружений(на) і має дітей;
не одружений(на) і не має дітей;
розлучений(на) і має дітей;
не зареєстрований шлюб і не має дітей;</t>
  </si>
  <si>
    <t>вдова/вдівець і не має дітей;
зареєстрований шлюб і має дітей;
не зареєстрований шлюб і має дітей</t>
  </si>
  <si>
    <t>вдова/вдівець і має дітей;
зареєстрований шлюб і не має дітей;
розлучений(на) і не має дітей</t>
  </si>
  <si>
    <t>Кредитна історія боржника
КД - кількість днів прострочки на момент розрахунку</t>
  </si>
  <si>
    <t>КД ≤ 7 днів</t>
  </si>
  <si>
    <t>8≤ КД ≤30</t>
  </si>
  <si>
    <t>31≤ КД ≤ 60</t>
  </si>
  <si>
    <t>61≤ КД ≤ 90</t>
  </si>
  <si>
    <t>КД ≥ 91</t>
  </si>
  <si>
    <t>для фізичних осіб, що не здійснюють підприємницької діяльності/ незалежної професійної діяльності</t>
  </si>
  <si>
    <t>0,5 &lt;= КЗ &lt; 0,7</t>
  </si>
  <si>
    <t>0,7 &lt;= КЗ &lt; 0,8</t>
  </si>
  <si>
    <t>0,8 &lt;= КЗ &lt; 1</t>
  </si>
  <si>
    <t>1 &lt;= КЗ &lt; 1,3</t>
  </si>
  <si>
    <t>0,95 &lt;= КВБ &lt; 1</t>
  </si>
  <si>
    <t>1 &lt;= КВБ &lt; 2</t>
  </si>
  <si>
    <t>0,9 &lt;= КВБ &lt; 0,95</t>
  </si>
  <si>
    <t>0,85 &lt;= КВБ &lt; 0,9</t>
  </si>
  <si>
    <t>Клас</t>
  </si>
  <si>
    <t>ПЗВ</t>
  </si>
  <si>
    <t>БВС</t>
  </si>
  <si>
    <t>Таблиця МП</t>
  </si>
  <si>
    <t>Таблиця БВС</t>
  </si>
  <si>
    <t>Кількість членів сім'ї</t>
  </si>
  <si>
    <t>&gt;=5</t>
  </si>
  <si>
    <t>розрахунок</t>
  </si>
  <si>
    <t>Д - середньомісячна сума доходу у вигляді з/п</t>
  </si>
  <si>
    <t>Д - середньомісячна сума доходу від дивідендів</t>
  </si>
  <si>
    <t>П - середньомісячні податки повязані із виплатою дивідендів</t>
  </si>
  <si>
    <t>ВОД - середньомісячні витрати, пов’язані з отриманням доходів від оренди, незалежної професійної діяльності, інших доходів</t>
  </si>
  <si>
    <t>Іс</t>
  </si>
  <si>
    <t>ВФЗС</t>
  </si>
  <si>
    <t>В - задекларовані витрати на проживання</t>
  </si>
  <si>
    <t>витрати на проживання</t>
  </si>
  <si>
    <t>ФВкпп</t>
  </si>
  <si>
    <t>СДР</t>
  </si>
  <si>
    <t>Поручитель</t>
  </si>
  <si>
    <t>Подружжя поручителя</t>
  </si>
  <si>
    <t>Сума ануїтету</t>
  </si>
  <si>
    <t>Сума кредиту</t>
  </si>
  <si>
    <t>Дата формування:</t>
  </si>
  <si>
    <t xml:space="preserve">Процентний платіж </t>
  </si>
  <si>
    <t>Ставка кредиту</t>
  </si>
  <si>
    <t>Відсоткові ставки на різні періоди</t>
  </si>
  <si>
    <t>Графік погашення кредиту</t>
  </si>
  <si>
    <t>Платіж по основній сумі</t>
  </si>
  <si>
    <t>Строк кредиту</t>
  </si>
  <si>
    <t>№ платежу</t>
  </si>
  <si>
    <t>Розмір ануїтету</t>
  </si>
  <si>
    <t>Погашення суми кредиту</t>
  </si>
  <si>
    <t>Сплата відсотків</t>
  </si>
  <si>
    <t>Сплата щомісячної комісії</t>
  </si>
  <si>
    <t>Всього платежів</t>
  </si>
  <si>
    <t>Залишок заборгованості</t>
  </si>
  <si>
    <t>Дата розрахунку</t>
  </si>
  <si>
    <t>Комісія за управління</t>
  </si>
  <si>
    <t>%</t>
  </si>
  <si>
    <t>грн.</t>
  </si>
  <si>
    <t xml:space="preserve">Періодичність сплати (міс.) </t>
  </si>
  <si>
    <t>Валюта</t>
  </si>
  <si>
    <t>Сума ануїтету (грн.)</t>
  </si>
  <si>
    <t>Дата погашення кредиту</t>
  </si>
  <si>
    <t>min</t>
  </si>
  <si>
    <t>max</t>
  </si>
  <si>
    <t>UAH</t>
  </si>
  <si>
    <t>% ставки</t>
  </si>
  <si>
    <t>термін кредиту</t>
  </si>
  <si>
    <t>День оплати</t>
  </si>
  <si>
    <t>% комісії за управління</t>
  </si>
  <si>
    <t>Строк кредиту після 15 числа</t>
  </si>
  <si>
    <t>Останній платіж</t>
  </si>
  <si>
    <t>Ануїтет</t>
  </si>
  <si>
    <t>Категорія продукту</t>
  </si>
  <si>
    <t>ОПК(1)</t>
  </si>
  <si>
    <t>ОПК(2)</t>
  </si>
  <si>
    <t>ОПК(3)</t>
  </si>
  <si>
    <t>ОПК(4)</t>
  </si>
  <si>
    <t>Класика</t>
  </si>
  <si>
    <t>залежить від категорії продукту і вартості забезпечення</t>
  </si>
  <si>
    <t>Дата сплати</t>
  </si>
  <si>
    <t>Дата початку дії ставки 1</t>
  </si>
  <si>
    <t>Дата початку дії ставки 2</t>
  </si>
  <si>
    <t>Дата початку дії ставки 3</t>
  </si>
  <si>
    <t>Дата початку дії ставки 4</t>
  </si>
  <si>
    <t>Інші члени родини</t>
  </si>
  <si>
    <t>Максимальна сума</t>
  </si>
  <si>
    <t>БЗКРЕДО - сукупна сума кредитів боржника в АТ «КРЕДОБАНК» за продуктом</t>
  </si>
  <si>
    <t>БЗКРЕДО - сукупна сума кредитів поручителя в АТ «КРЕДОБАНК» за продуктом</t>
  </si>
  <si>
    <t>БЗЗА - сукупна заборгованість за усіма відкритими (незавершеними) заявками боржника за продуктом</t>
  </si>
  <si>
    <t>АВТОКРЕДИТ</t>
  </si>
  <si>
    <t>ІПОТЕКА</t>
  </si>
  <si>
    <t>БЗЗА - сукупна заборгованість за усіма відкритими (незавершеними) заявками почучителя за продуктом</t>
  </si>
  <si>
    <t>СМД поручителя/СМД подружжя поручителя</t>
  </si>
  <si>
    <t>ПЛАТОСПРОМОЖНІСТЬ ПОРУЧИТЕЛЯ</t>
  </si>
  <si>
    <t>Вартість об'єкту кредитування, грн</t>
  </si>
  <si>
    <t>Участь власними коштами, грн</t>
  </si>
  <si>
    <t>Сукупна заставна вартість об’єктів застави, грн</t>
  </si>
  <si>
    <t>Бажана сума кредиту, грн</t>
  </si>
  <si>
    <t>Буфер ризику % ставки</t>
  </si>
  <si>
    <t>Строк кредитного договору</t>
  </si>
  <si>
    <t>Коректа процентного ризику (буфер)</t>
  </si>
  <si>
    <t>&lt; = 24 місяців</t>
  </si>
  <si>
    <t>&gt; 24 та  ≤ 60 місяців</t>
  </si>
  <si>
    <t>&gt; 60 місяців</t>
  </si>
  <si>
    <t>тип % ставки</t>
  </si>
  <si>
    <t>- обов'язкові поля</t>
  </si>
  <si>
    <t>Д - середньомісячний дохід від вкладу (після оподаткування)</t>
  </si>
  <si>
    <t>Д - середньомісячна сума доходу від діяльності ФОП</t>
  </si>
  <si>
    <t>П - середньомісячні податки повязані із діяльностю ФОП</t>
  </si>
  <si>
    <t>ЗВП - середньомісячні задекларовані витрати фізичної особи підприємця, пов'язані із веденням госп дія-сті</t>
  </si>
  <si>
    <t>Д - середньомісячна сума доходу від оренди, незалежної професійної діяльності, інших доходів (після оподаткування)</t>
  </si>
  <si>
    <t>Тип доходу</t>
  </si>
  <si>
    <t>Чи враховувати комісію за видачу до суми кредиту?</t>
  </si>
  <si>
    <t>Чи враховувати доходи інших членів родини?</t>
  </si>
  <si>
    <t>Чи враховувати страховий платіж до суми кредиту?</t>
  </si>
  <si>
    <t>Чи враховувати платіж КАСКО до суми кредиту?</t>
  </si>
  <si>
    <t>Івп</t>
  </si>
  <si>
    <t>термін дії ставки, міс</t>
  </si>
  <si>
    <t>Бажана сума кредиту з врахуванням платежів, грн</t>
  </si>
  <si>
    <t>залежить від категорії продукту і авансу</t>
  </si>
  <si>
    <t>Автокредити - min аванс</t>
  </si>
  <si>
    <t>Значення</t>
  </si>
  <si>
    <t>Вартість атомобіля</t>
  </si>
  <si>
    <t>залежить від вартості об'єкту кредитування</t>
  </si>
  <si>
    <t>Ні</t>
  </si>
  <si>
    <t>Автокредит</t>
  </si>
  <si>
    <t>ануїтет</t>
  </si>
  <si>
    <t>Фіксована</t>
  </si>
  <si>
    <t>не одружений(на)</t>
  </si>
  <si>
    <t>Нотаріальні послуги (одноразово)</t>
  </si>
  <si>
    <t>Комісія за видачу кредиту (грн)</t>
  </si>
  <si>
    <t>Страхування КАСКО, щорічно (грн)</t>
  </si>
  <si>
    <t>Пенсійний фонд</t>
  </si>
  <si>
    <t>Без ПДВ</t>
  </si>
  <si>
    <t>Реальна ставка</t>
  </si>
  <si>
    <t>Відсотки</t>
  </si>
  <si>
    <t>Загальні витрати за кредитом, грн</t>
  </si>
  <si>
    <t>Загальна вартість кредиту, грн</t>
  </si>
  <si>
    <t>Термін</t>
  </si>
  <si>
    <t>Кредитний продукт</t>
  </si>
  <si>
    <t>Ануїтетна</t>
  </si>
  <si>
    <t xml:space="preserve">ГРАФІК ПОГАШЕННЯ КРЕДИТУ </t>
  </si>
  <si>
    <t>Місяць</t>
  </si>
  <si>
    <t>Розмір щомісячних внесків з повернення кредиту, грн.</t>
  </si>
  <si>
    <t>Щомісячна плата за кредитне обслуговування, грн.</t>
  </si>
  <si>
    <t>Розмір щомісячних процентних внесків, грн.</t>
  </si>
  <si>
    <t>Загальна сума внесків до повернення в місяць, грн.</t>
  </si>
  <si>
    <t>Вартість автомобіля (грн)</t>
  </si>
  <si>
    <t>Чи достатня вартість авансового платежу?</t>
  </si>
  <si>
    <t>Відсоткова ставка річна (%)</t>
  </si>
  <si>
    <t>Відображення авансу (сума або % )</t>
  </si>
  <si>
    <t>Термін кредитування (міс)</t>
  </si>
  <si>
    <t>Комісія за видачу кредиту (%)</t>
  </si>
  <si>
    <t xml:space="preserve"> </t>
  </si>
  <si>
    <t>Варіанти НВ</t>
  </si>
  <si>
    <t>Страхування НВ (%)</t>
  </si>
  <si>
    <t>Страхування НВ (грн)</t>
  </si>
  <si>
    <t>Чи додати страхування НВ до суми кредиту?</t>
  </si>
  <si>
    <t>Так</t>
  </si>
  <si>
    <t>Страхування КАСКО (%)</t>
  </si>
  <si>
    <t>Страхування КАСКО (грн)</t>
  </si>
  <si>
    <t>без комісії за видачу</t>
  </si>
  <si>
    <t>вартість-аванс</t>
  </si>
  <si>
    <t>сума дод. страхування</t>
  </si>
  <si>
    <t>Дата</t>
  </si>
  <si>
    <t>Число</t>
  </si>
  <si>
    <t>*Дана сума є орієнтовною і може відрізнятися від суми щомісячного платежу в кредитному договорі.</t>
  </si>
  <si>
    <t>Максимальна сума кредиту</t>
  </si>
  <si>
    <t>%,Участь власними коштами</t>
  </si>
  <si>
    <t>ПМ</t>
  </si>
  <si>
    <t>Авансовий внесок за авто:</t>
  </si>
  <si>
    <t>Одноразова комісія банку:</t>
  </si>
  <si>
    <t>так</t>
  </si>
  <si>
    <t>ні</t>
  </si>
  <si>
    <t>КАСКО:</t>
  </si>
  <si>
    <t>Страхування НВ</t>
  </si>
  <si>
    <t>Цивілка:</t>
  </si>
  <si>
    <t>Нотаріальні послуги:</t>
  </si>
  <si>
    <t>Реєстрація автомобіля:</t>
  </si>
  <si>
    <t>ВСЬОГО ВИТРАТ</t>
  </si>
  <si>
    <t>Всього</t>
  </si>
  <si>
    <t>Авансовий платіж</t>
  </si>
  <si>
    <t>Пенсійний фонд:</t>
  </si>
  <si>
    <t xml:space="preserve">Вартість автомобіля, грн </t>
  </si>
  <si>
    <t>Участь власними коштами %</t>
  </si>
  <si>
    <t>Термін кредиту, міс</t>
  </si>
  <si>
    <t>Тариф каско, %</t>
  </si>
  <si>
    <t>Річна процентна ставка,%</t>
  </si>
  <si>
    <t>Комісія за видачу,%</t>
  </si>
  <si>
    <t>Витрати нотаріуса, грн;</t>
  </si>
  <si>
    <t>Збори на обов’язкове державне пенсійне страхування, грн</t>
  </si>
  <si>
    <t>Інші витрати, грн</t>
  </si>
  <si>
    <t>Калькулятор (реал. ставка)</t>
  </si>
  <si>
    <t>Калькулятор</t>
  </si>
  <si>
    <t>*одне з полів має мати 1</t>
  </si>
  <si>
    <t>Вартість автомобіля, грн  (Без ПДВ)</t>
  </si>
  <si>
    <t>Інші витрати</t>
  </si>
  <si>
    <t>Ефективна процентна ставка,%</t>
  </si>
  <si>
    <t>IRR Реальна процентна ставка,%</t>
  </si>
  <si>
    <t>Місячний платіж</t>
  </si>
  <si>
    <t>Загальні витрати по кредиту, грн</t>
  </si>
  <si>
    <t>Ефективна ставка</t>
  </si>
  <si>
    <t>Ставка</t>
  </si>
  <si>
    <t>Продукти:</t>
  </si>
  <si>
    <t>міс.</t>
  </si>
  <si>
    <t>Продукт</t>
  </si>
  <si>
    <t>Формат для авансу Продукту</t>
  </si>
  <si>
    <t>Відображення авансу</t>
  </si>
  <si>
    <t>Аванс</t>
  </si>
  <si>
    <t>Або</t>
  </si>
  <si>
    <t>Суму платежу за розрахунковий період (місяць) (грн)</t>
  </si>
  <si>
    <t>Загальна вартість кредиту для клієнта (грн)</t>
  </si>
  <si>
    <t>Реальна річна процентна ставка, відсотків річних</t>
  </si>
  <si>
    <t>Загальні витрати за кредитом (грн)</t>
  </si>
  <si>
    <t>Каско</t>
  </si>
  <si>
    <t>Витрати оцінювача</t>
  </si>
  <si>
    <t>Грн.</t>
  </si>
  <si>
    <t>Страхування КАСКО перший рік (грн)</t>
  </si>
  <si>
    <t>Страхування КАСКО (сума за всі наступні роки) (грн)</t>
  </si>
  <si>
    <t>Сума процентів за користування кредитом (грн)</t>
  </si>
  <si>
    <t>Пенсійний фонд (грн)</t>
  </si>
  <si>
    <t>Електромобіль</t>
  </si>
  <si>
    <t>Дата погаш</t>
  </si>
  <si>
    <t>строк кредиту</t>
  </si>
  <si>
    <t>v</t>
  </si>
  <si>
    <t>Ануїтетний платіж</t>
  </si>
  <si>
    <t>Реальна % ставка</t>
  </si>
  <si>
    <t>Комісія за видачу</t>
  </si>
  <si>
    <t>Комісія за видачу кредиту</t>
  </si>
  <si>
    <t>Грошові потоки</t>
  </si>
  <si>
    <t>Орієнтовна сума початкових витрат*</t>
  </si>
  <si>
    <t>Чи додати страхування КАСКО до суми кредиту?</t>
  </si>
  <si>
    <t>вартість-аванс+комісія+каско</t>
  </si>
  <si>
    <t>Вартість авто - аванс</t>
  </si>
  <si>
    <t>Ануїтетний платіж**</t>
  </si>
  <si>
    <t>Для працівників</t>
  </si>
  <si>
    <t>сума кредиту</t>
  </si>
  <si>
    <t>ставка пільгового періоду</t>
  </si>
  <si>
    <t>ставка непільгова</t>
  </si>
  <si>
    <t>термін кредитування</t>
  </si>
  <si>
    <t>пільговий термін</t>
  </si>
  <si>
    <t>непільговий термін</t>
  </si>
  <si>
    <t>Q=P+1</t>
  </si>
  <si>
    <t>Qn=Pn+1</t>
  </si>
  <si>
    <t>K2=(Qn-1)Qn^m/(Qn^m-1)</t>
  </si>
  <si>
    <t>S2 - Залишок на початок непільгового періоду</t>
  </si>
  <si>
    <t>A1 - ануїтетний платіж</t>
  </si>
  <si>
    <t>Ануїтет змінні ставки протягом терміну кредитування (для пільгових продуктів)</t>
  </si>
  <si>
    <t>залишок кредитної суми</t>
  </si>
  <si>
    <t>ануїтетний платіж</t>
  </si>
  <si>
    <t>тіло</t>
  </si>
  <si>
    <t>Наявність пільгового періоду</t>
  </si>
  <si>
    <t>сума початкових витрат комісія за видачу</t>
  </si>
  <si>
    <t>сума початкових витрат КАСКО</t>
  </si>
  <si>
    <t>20-29,9</t>
  </si>
  <si>
    <t>30-39,9</t>
  </si>
  <si>
    <t>40-49,9</t>
  </si>
  <si>
    <t>50-59,9</t>
  </si>
  <si>
    <t>60-69,9</t>
  </si>
  <si>
    <t>70&gt;=</t>
  </si>
  <si>
    <r>
      <t xml:space="preserve">Аванс </t>
    </r>
    <r>
      <rPr>
        <sz val="9"/>
        <color rgb="FFFF0000"/>
        <rFont val="Times New Roman"/>
        <family val="1"/>
        <charset val="204"/>
      </rPr>
      <t xml:space="preserve">(вказується в </t>
    </r>
    <r>
      <rPr>
        <b/>
        <sz val="9"/>
        <color rgb="FFFF0000"/>
        <rFont val="Times New Roman"/>
        <family val="1"/>
        <charset val="204"/>
      </rPr>
      <t>грн. "10000"</t>
    </r>
    <r>
      <rPr>
        <sz val="9"/>
        <color rgb="FFFF0000"/>
        <rFont val="Times New Roman"/>
        <family val="1"/>
        <charset val="204"/>
      </rPr>
      <t xml:space="preserve"> або</t>
    </r>
    <r>
      <rPr>
        <b/>
        <sz val="9"/>
        <color rgb="FFFF0000"/>
        <rFont val="Times New Roman"/>
        <family val="1"/>
        <charset val="204"/>
      </rPr>
      <t xml:space="preserve"> % "20%"</t>
    </r>
    <r>
      <rPr>
        <sz val="9"/>
        <color rgb="FFFF0000"/>
        <rFont val="Times New Roman"/>
        <family val="1"/>
        <charset val="204"/>
      </rPr>
      <t>)</t>
    </r>
  </si>
  <si>
    <r>
      <t>Загальна сума внесків до повернення в місяць, грн.</t>
    </r>
    <r>
      <rPr>
        <b/>
        <sz val="8"/>
        <color rgb="FFFF0000"/>
        <rFont val="Times New Roman"/>
        <family val="1"/>
        <charset val="204"/>
      </rPr>
      <t>*</t>
    </r>
  </si>
  <si>
    <t>Пільгова ставка</t>
  </si>
  <si>
    <t>Чи додати комісію за видачу до суми кредиту?</t>
  </si>
  <si>
    <t>Реал.% ст. при пільг.періоді</t>
  </si>
  <si>
    <t>Реал% ст. без піл.періоду</t>
  </si>
  <si>
    <t>* Орієнтовна сума початкових витрат = Аванс + Комісія за видачу кредиту + Страхування КАСКО перший рік + Пенсійний фонд. 
При розрахунку витрат не включено витрати за реєстрацію авто та страхування ОСЦПВ.
**Дана сума є орієнтовною і може відрізнятися від суми щомісячного платежу в кредитному договорі</t>
  </si>
  <si>
    <t>ПАРТНЕРСЬКИЙ GRACE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</si>
</sst>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0.00\ &quot;грн.&quot;"/>
    <numFmt numFmtId="166" formatCode="#,##0.00_ ;[Red]\-#,##0.00\ "/>
    <numFmt numFmtId="167" formatCode="mmmm\ yyyy"/>
    <numFmt numFmtId="168" formatCode="[$-FC22]d\ mmmm\ yyyy&quot; р.&quot;;@"/>
    <numFmt numFmtId="169" formatCode="0.000"/>
    <numFmt numFmtId="170" formatCode="#,##0\ &quot;грн.&quot;;\-#,##0\ &quot;грн.&quot;"/>
    <numFmt numFmtId="171" formatCode="#&quot; &quot;##0"/>
    <numFmt numFmtId="172" formatCode="0.0"/>
    <numFmt numFmtId="173" formatCode="#&quot; &quot;##0.0"/>
    <numFmt numFmtId="174" formatCode="#,##0.00\ &quot;грн.&quot;;\-#,##0.00\ &quot;грн.&quot;"/>
    <numFmt numFmtId="175" formatCode="#,##0.00&quot;₴&quot;"/>
    <numFmt numFmtId="176" formatCode="#,##0.00_ ;\-#,##0.00\ "/>
    <numFmt numFmtId="177" formatCode="0.000%"/>
  </numFmts>
  <fonts count="74"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11"/>
      <name val="Calibri"/>
      <family val="2"/>
      <scheme val="minor"/>
    </font>
    <font>
      <sz val="11"/>
      <color rgb="FF00B0F0"/>
      <name val="Calibri"/>
      <family val="2"/>
      <charset val="204"/>
      <scheme val="minor"/>
    </font>
    <font>
      <sz val="8"/>
      <name val="Calibri"/>
      <family val="2"/>
      <scheme val="minor"/>
    </font>
    <font>
      <b/>
      <sz val="11"/>
      <color theme="1"/>
      <name val="Times New Roman"/>
      <family val="1"/>
      <charset val="204"/>
    </font>
    <font>
      <sz val="11"/>
      <color theme="1"/>
      <name val="Times New Roman"/>
      <family val="1"/>
      <charset val="204"/>
    </font>
    <font>
      <sz val="11"/>
      <color theme="1"/>
      <name val="Symbol"/>
      <family val="1"/>
      <charset val="2"/>
    </font>
    <font>
      <sz val="10"/>
      <color rgb="FF000080"/>
      <name val="Arial Cyr"/>
    </font>
    <font>
      <sz val="10"/>
      <name val="Arial Cyr"/>
      <charset val="204"/>
    </font>
    <font>
      <sz val="10"/>
      <color indexed="10"/>
      <name val="Arial Cyr"/>
      <charset val="204"/>
    </font>
    <font>
      <sz val="10"/>
      <color indexed="42"/>
      <name val="Arial Cyr"/>
      <charset val="204"/>
    </font>
    <font>
      <sz val="10"/>
      <color rgb="FFCCFFFF"/>
      <name val="Arial Cyr"/>
      <charset val="204"/>
    </font>
    <font>
      <b/>
      <sz val="12"/>
      <color rgb="FFFF0000"/>
      <name val="Arial Cyr"/>
      <charset val="204"/>
    </font>
    <font>
      <sz val="10"/>
      <name val="Arial"/>
      <family val="2"/>
      <charset val="204"/>
    </font>
    <font>
      <sz val="10"/>
      <color indexed="9"/>
      <name val="Arial"/>
      <family val="2"/>
      <charset val="204"/>
    </font>
    <font>
      <sz val="10"/>
      <color indexed="10"/>
      <name val="Arial"/>
      <family val="2"/>
      <charset val="204"/>
    </font>
    <font>
      <b/>
      <sz val="16"/>
      <name val="Arial"/>
      <family val="2"/>
      <charset val="204"/>
    </font>
    <font>
      <sz val="10"/>
      <color theme="6" tint="-0.499984740745262"/>
      <name val="Arial"/>
      <family val="2"/>
      <charset val="204"/>
    </font>
    <font>
      <sz val="11"/>
      <color theme="7" tint="-0.249977111117893"/>
      <name val="Times New Roman"/>
      <family val="1"/>
      <charset val="204"/>
    </font>
    <font>
      <sz val="10"/>
      <color theme="7" tint="-0.249977111117893"/>
      <name val="Arial"/>
      <family val="2"/>
      <charset val="204"/>
    </font>
    <font>
      <b/>
      <sz val="12"/>
      <name val="Times New Roman"/>
      <family val="1"/>
      <charset val="204"/>
    </font>
    <font>
      <sz val="11"/>
      <color indexed="8"/>
      <name val="Times New Roman"/>
      <family val="1"/>
      <charset val="204"/>
    </font>
    <font>
      <sz val="11"/>
      <color theme="7" tint="-0.249977111117893"/>
      <name val="Calibri"/>
      <family val="2"/>
      <charset val="204"/>
      <scheme val="minor"/>
    </font>
    <font>
      <sz val="7.5"/>
      <color rgb="FF000000"/>
      <name val="Arial"/>
      <family val="2"/>
      <charset val="204"/>
    </font>
    <font>
      <b/>
      <sz val="14"/>
      <color theme="6" tint="-0.499984740745262"/>
      <name val="Times New Roman"/>
      <family val="1"/>
      <charset val="204"/>
    </font>
    <font>
      <b/>
      <sz val="14"/>
      <name val="Times New Roman"/>
      <family val="1"/>
      <charset val="204"/>
    </font>
    <font>
      <sz val="11"/>
      <color rgb="FFFF0000"/>
      <name val="Times New Roman"/>
      <family val="1"/>
      <charset val="204"/>
    </font>
    <font>
      <b/>
      <sz val="8"/>
      <color rgb="FFFF0000"/>
      <name val="Times New Roman"/>
      <family val="1"/>
      <charset val="204"/>
    </font>
    <font>
      <b/>
      <sz val="8"/>
      <name val="Times New Roman"/>
      <family val="1"/>
      <charset val="204"/>
    </font>
    <font>
      <sz val="11"/>
      <name val="Times New Roman"/>
      <family val="1"/>
      <charset val="204"/>
    </font>
    <font>
      <sz val="8"/>
      <name val="Arial"/>
      <family val="2"/>
      <charset val="204"/>
    </font>
    <font>
      <b/>
      <sz val="8"/>
      <name val="Arial"/>
      <family val="2"/>
      <charset val="204"/>
    </font>
    <font>
      <sz val="10"/>
      <name val="Times New Roman"/>
      <family val="1"/>
      <charset val="204"/>
    </font>
    <font>
      <b/>
      <sz val="10"/>
      <name val="Arial"/>
      <family val="2"/>
      <charset val="204"/>
    </font>
    <font>
      <b/>
      <sz val="12"/>
      <name val="Arial"/>
      <family val="2"/>
      <charset val="204"/>
    </font>
    <font>
      <sz val="10"/>
      <color rgb="FFFF0000"/>
      <name val="Arial"/>
      <family val="2"/>
      <charset val="204"/>
    </font>
    <font>
      <b/>
      <sz val="12"/>
      <color rgb="FFFF0000"/>
      <name val="Arial"/>
      <family val="2"/>
      <charset val="204"/>
    </font>
    <font>
      <b/>
      <sz val="14"/>
      <color rgb="FFFF0000"/>
      <name val="Arial"/>
      <family val="2"/>
      <charset val="204"/>
    </font>
    <font>
      <sz val="10"/>
      <color rgb="FF000000"/>
      <name val="Arial"/>
      <family val="2"/>
      <charset val="204"/>
    </font>
    <font>
      <b/>
      <u/>
      <sz val="18"/>
      <name val="Times New Roman"/>
      <family val="1"/>
      <charset val="204"/>
    </font>
    <font>
      <b/>
      <sz val="10"/>
      <name val="Times New Roman"/>
      <family val="1"/>
      <charset val="204"/>
    </font>
    <font>
      <b/>
      <sz val="10"/>
      <color rgb="FF008000"/>
      <name val="Arial Cyr"/>
    </font>
    <font>
      <b/>
      <sz val="14"/>
      <color rgb="FF008000"/>
      <name val="Calibri"/>
      <family val="2"/>
      <charset val="204"/>
    </font>
    <font>
      <b/>
      <sz val="12"/>
      <color rgb="FF008000"/>
      <name val="Calibri"/>
      <family val="2"/>
      <charset val="204"/>
    </font>
    <font>
      <sz val="11"/>
      <color rgb="FF00B050"/>
      <name val="Calibri"/>
      <family val="2"/>
      <charset val="204"/>
      <scheme val="minor"/>
    </font>
    <font>
      <sz val="11"/>
      <color rgb="FF00B050"/>
      <name val="Times New Roman"/>
      <family val="1"/>
      <charset val="204"/>
    </font>
    <font>
      <sz val="18"/>
      <name val="Arial"/>
      <family val="2"/>
      <charset val="204"/>
    </font>
    <font>
      <sz val="11"/>
      <color theme="0"/>
      <name val="Calibri"/>
      <family val="2"/>
      <scheme val="minor"/>
    </font>
    <font>
      <b/>
      <sz val="11"/>
      <color theme="0"/>
      <name val="Calibri"/>
      <family val="2"/>
      <scheme val="minor"/>
    </font>
    <font>
      <sz val="12"/>
      <name val="Calibri"/>
      <family val="2"/>
      <charset val="204"/>
      <scheme val="minor"/>
    </font>
    <font>
      <b/>
      <sz val="13"/>
      <name val="Calibri"/>
      <family val="2"/>
      <charset val="204"/>
      <scheme val="minor"/>
    </font>
    <font>
      <sz val="13"/>
      <color theme="1"/>
      <name val="Calibri"/>
      <family val="2"/>
      <charset val="204"/>
      <scheme val="minor"/>
    </font>
    <font>
      <sz val="13"/>
      <name val="Calibri"/>
      <family val="2"/>
      <charset val="204"/>
      <scheme val="minor"/>
    </font>
    <font>
      <sz val="11"/>
      <name val="Calibri"/>
      <family val="2"/>
      <charset val="204"/>
      <scheme val="minor"/>
    </font>
    <font>
      <b/>
      <sz val="9"/>
      <color indexed="81"/>
      <name val="Tahoma"/>
      <family val="2"/>
      <charset val="204"/>
    </font>
    <font>
      <sz val="8"/>
      <color rgb="FF000000"/>
      <name val="Arial"/>
      <family val="2"/>
      <charset val="204"/>
    </font>
    <font>
      <sz val="11"/>
      <name val="Arial"/>
      <family val="2"/>
      <charset val="204"/>
    </font>
    <font>
      <b/>
      <u/>
      <sz val="16"/>
      <name val="Calibri"/>
      <family val="2"/>
      <charset val="204"/>
      <scheme val="minor"/>
    </font>
    <font>
      <i/>
      <sz val="11"/>
      <name val="Arial"/>
      <family val="2"/>
      <charset val="204"/>
    </font>
    <font>
      <b/>
      <sz val="12"/>
      <name val="Calibri"/>
      <family val="2"/>
      <charset val="204"/>
      <scheme val="minor"/>
    </font>
    <font>
      <sz val="10"/>
      <color theme="1"/>
      <name val="Calibri"/>
      <family val="2"/>
      <charset val="204"/>
      <scheme val="minor"/>
    </font>
    <font>
      <sz val="8"/>
      <color theme="1"/>
      <name val="Calibri"/>
      <family val="2"/>
      <charset val="204"/>
      <scheme val="minor"/>
    </font>
    <font>
      <sz val="8"/>
      <name val="Calibri"/>
      <family val="2"/>
      <charset val="204"/>
      <scheme val="minor"/>
    </font>
    <font>
      <sz val="8"/>
      <color rgb="FFFF0000"/>
      <name val="Arial"/>
      <family val="2"/>
      <charset val="204"/>
    </font>
    <font>
      <b/>
      <sz val="13"/>
      <name val="Calibri"/>
      <family val="2"/>
      <charset val="204"/>
    </font>
    <font>
      <b/>
      <sz val="12"/>
      <name val="Calibri"/>
      <family val="2"/>
      <charset val="204"/>
    </font>
    <font>
      <sz val="11"/>
      <color rgb="FFFF0000"/>
      <name val="Calibri"/>
      <family val="2"/>
      <scheme val="minor"/>
    </font>
    <font>
      <b/>
      <sz val="11"/>
      <color rgb="FFFF0000"/>
      <name val="Calibri"/>
      <family val="2"/>
      <scheme val="minor"/>
    </font>
    <font>
      <sz val="9"/>
      <color rgb="FFFF0000"/>
      <name val="Times New Roman"/>
      <family val="1"/>
      <charset val="204"/>
    </font>
    <font>
      <b/>
      <sz val="9"/>
      <color rgb="FFFF0000"/>
      <name val="Times New Roman"/>
      <family val="1"/>
      <charset val="204"/>
    </font>
    <font>
      <sz val="20"/>
      <color rgb="FFFF0000"/>
      <name val="Calibri"/>
      <family val="2"/>
      <charset val="204"/>
      <scheme val="minor"/>
    </font>
  </fonts>
  <fills count="1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0E498"/>
        <bgColor indexed="64"/>
      </patternFill>
    </fill>
    <fill>
      <patternFill patternType="solid">
        <fgColor theme="0"/>
        <bgColor indexed="64"/>
      </patternFill>
    </fill>
    <fill>
      <patternFill patternType="solid">
        <fgColor indexed="43"/>
        <bgColor indexed="64"/>
      </patternFill>
    </fill>
    <fill>
      <patternFill patternType="solid">
        <fgColor rgb="FF407BB0"/>
        <bgColor indexed="64"/>
      </patternFill>
    </fill>
    <fill>
      <patternFill patternType="solid">
        <fgColor rgb="FFFF0000"/>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FFF0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slantDashDot">
        <color theme="6" tint="-0.499984740745262"/>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slantDashDot">
        <color theme="6" tint="-0.249977111117893"/>
      </left>
      <right style="slantDashDot">
        <color theme="6" tint="-0.249977111117893"/>
      </right>
      <top style="slantDashDot">
        <color theme="6" tint="-0.249977111117893"/>
      </top>
      <bottom style="slantDashDot">
        <color theme="6" tint="-0.249977111117893"/>
      </bottom>
      <diagonal/>
    </border>
    <border>
      <left/>
      <right/>
      <top/>
      <bottom style="slantDashDot">
        <color theme="6" tint="-0.249977111117893"/>
      </bottom>
      <diagonal/>
    </border>
    <border>
      <left/>
      <right style="slantDashDot">
        <color theme="6" tint="-0.249977111117893"/>
      </right>
      <top/>
      <bottom/>
      <diagonal/>
    </border>
    <border>
      <left style="slantDashDot">
        <color theme="6" tint="-0.249977111117893"/>
      </left>
      <right/>
      <top style="slantDashDot">
        <color theme="6" tint="-0.249977111117893"/>
      </top>
      <bottom/>
      <diagonal/>
    </border>
    <border>
      <left style="slantDashDot">
        <color theme="6" tint="-0.249977111117893"/>
      </left>
      <right style="slantDashDot">
        <color theme="6" tint="-0.249977111117893"/>
      </right>
      <top style="slantDashDot">
        <color theme="6" tint="-0.249977111117893"/>
      </top>
      <bottom/>
      <diagonal/>
    </border>
    <border>
      <left style="slantDashDot">
        <color theme="6" tint="-0.249977111117893"/>
      </left>
      <right/>
      <top style="slantDashDot">
        <color theme="6" tint="-0.249977111117893"/>
      </top>
      <bottom style="slantDashDot">
        <color theme="6" tint="-0.249977111117893"/>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slantDashDot">
        <color theme="6" tint="-0.499984740745262"/>
      </right>
      <top/>
      <bottom/>
      <diagonal/>
    </border>
    <border>
      <left style="slantDashDot">
        <color theme="6" tint="-0.499984740745262"/>
      </left>
      <right style="slantDashDot">
        <color theme="6" tint="-0.499984740745262"/>
      </right>
      <top style="dashDotDot">
        <color theme="6" tint="-0.249977111117893"/>
      </top>
      <bottom style="slantDashDot">
        <color theme="6" tint="-0.499984740745262"/>
      </bottom>
      <diagonal/>
    </border>
    <border>
      <left style="slantDashDot">
        <color theme="6" tint="-0.499984740745262"/>
      </left>
      <right style="slantDashDot">
        <color theme="6" tint="-0.499984740745262"/>
      </right>
      <top style="slantDashDot">
        <color theme="6" tint="-0.499984740745262"/>
      </top>
      <bottom style="slantDashDot">
        <color theme="6" tint="-0.499984740745262"/>
      </bottom>
      <diagonal/>
    </border>
    <border>
      <left style="slantDashDot">
        <color theme="6" tint="-0.499984740745262"/>
      </left>
      <right style="slantDashDot">
        <color theme="6" tint="-0.499984740745262"/>
      </right>
      <top/>
      <bottom/>
      <diagonal/>
    </border>
    <border>
      <left/>
      <right style="medium">
        <color indexed="64"/>
      </right>
      <top style="thin">
        <color indexed="64"/>
      </top>
      <bottom style="thin">
        <color indexed="64"/>
      </bottom>
      <diagonal/>
    </border>
    <border>
      <left style="slantDashDot">
        <color theme="6" tint="-0.499984740745262"/>
      </left>
      <right style="slantDashDot">
        <color theme="6" tint="-0.499984740745262"/>
      </right>
      <top style="slantDashDot">
        <color theme="6" tint="-0.499984740745262"/>
      </top>
      <bottom/>
      <diagonal/>
    </border>
    <border>
      <left style="slantDashDot">
        <color theme="6" tint="-0.499984740745262"/>
      </left>
      <right style="slantDashDot">
        <color theme="6" tint="-0.499984740745262"/>
      </right>
      <top/>
      <bottom style="slantDashDot">
        <color theme="6" tint="-0.499984740745262"/>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theme="6" tint="0.59999389629810485"/>
      </left>
      <right style="medium">
        <color theme="6" tint="0.59999389629810485"/>
      </right>
      <top style="medium">
        <color theme="6" tint="0.59999389629810485"/>
      </top>
      <bottom/>
      <diagonal/>
    </border>
    <border>
      <left style="medium">
        <color theme="6" tint="0.59999389629810485"/>
      </left>
      <right style="medium">
        <color theme="6" tint="0.59999389629810485"/>
      </right>
      <top/>
      <bottom/>
      <diagonal/>
    </border>
    <border>
      <left style="medium">
        <color theme="6" tint="0.59999389629810485"/>
      </left>
      <right style="medium">
        <color theme="6" tint="0.59999389629810485"/>
      </right>
      <top/>
      <bottom style="medium">
        <color theme="6" tint="0.59999389629810485"/>
      </bottom>
      <diagonal/>
    </border>
    <border>
      <left style="medium">
        <color theme="6" tint="0.59999389629810485"/>
      </left>
      <right style="medium">
        <color theme="6" tint="0.59999389629810485"/>
      </right>
      <top style="medium">
        <color theme="6" tint="0.59999389629810485"/>
      </top>
      <bottom style="medium">
        <color theme="6" tint="0.59999389629810485"/>
      </bottom>
      <diagonal/>
    </border>
    <border>
      <left style="thin">
        <color theme="7" tint="-0.249977111117893"/>
      </left>
      <right style="thin">
        <color theme="7" tint="-0.249977111117893"/>
      </right>
      <top style="thin">
        <color theme="7" tint="-0.249977111117893"/>
      </top>
      <bottom style="thin">
        <color theme="7" tint="-0.249977111117893"/>
      </bottom>
      <diagonal/>
    </border>
    <border>
      <left style="medium">
        <color theme="6" tint="0.59999389629810485"/>
      </left>
      <right/>
      <top style="medium">
        <color theme="6" tint="0.59999389629810485"/>
      </top>
      <bottom style="medium">
        <color indexed="64"/>
      </bottom>
      <diagonal/>
    </border>
    <border>
      <left/>
      <right style="medium">
        <color indexed="64"/>
      </right>
      <top style="medium">
        <color theme="6" tint="0.59999389629810485"/>
      </top>
      <bottom style="medium">
        <color indexed="64"/>
      </bottom>
      <diagonal/>
    </border>
    <border>
      <left style="medium">
        <color indexed="64"/>
      </left>
      <right style="medium">
        <color indexed="64"/>
      </right>
      <top style="medium">
        <color theme="6" tint="0.59999389629810485"/>
      </top>
      <bottom style="medium">
        <color indexed="64"/>
      </bottom>
      <diagonal/>
    </border>
    <border>
      <left style="medium">
        <color indexed="64"/>
      </left>
      <right/>
      <top style="medium">
        <color theme="6" tint="0.59999389629810485"/>
      </top>
      <bottom style="medium">
        <color indexed="64"/>
      </bottom>
      <diagonal/>
    </border>
    <border>
      <left/>
      <right style="medium">
        <color theme="6" tint="0.59999389629810485"/>
      </right>
      <top style="medium">
        <color theme="6" tint="0.59999389629810485"/>
      </top>
      <bottom style="medium">
        <color indexed="64"/>
      </bottom>
      <diagonal/>
    </border>
    <border>
      <left style="thin">
        <color theme="7" tint="-0.249977111117893"/>
      </left>
      <right/>
      <top style="thin">
        <color theme="7" tint="-0.249977111117893"/>
      </top>
      <bottom style="thin">
        <color theme="7" tint="-0.249977111117893"/>
      </bottom>
      <diagonal/>
    </border>
    <border>
      <left/>
      <right/>
      <top style="thin">
        <color theme="7" tint="-0.249977111117893"/>
      </top>
      <bottom style="thin">
        <color theme="7" tint="-0.249977111117893"/>
      </bottom>
      <diagonal/>
    </border>
    <border>
      <left/>
      <right style="thin">
        <color theme="7" tint="-0.249977111117893"/>
      </right>
      <top style="thin">
        <color theme="7" tint="-0.249977111117893"/>
      </top>
      <bottom style="thin">
        <color theme="7" tint="-0.249977111117893"/>
      </bottom>
      <diagonal/>
    </border>
    <border>
      <left style="medium">
        <color theme="6" tint="0.59999389629810485"/>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theme="6" tint="0.59999389629810485"/>
      </right>
      <top style="medium">
        <color indexed="64"/>
      </top>
      <bottom style="thin">
        <color indexed="64"/>
      </bottom>
      <diagonal/>
    </border>
    <border>
      <left style="medium">
        <color theme="6" tint="0.59999389629810485"/>
      </left>
      <right/>
      <top style="thin">
        <color indexed="64"/>
      </top>
      <bottom style="thin">
        <color indexed="64"/>
      </bottom>
      <diagonal/>
    </border>
    <border>
      <left/>
      <right style="thin">
        <color indexed="64"/>
      </right>
      <top style="thin">
        <color indexed="64"/>
      </top>
      <bottom style="medium">
        <color theme="6" tint="0.59999389629810485"/>
      </bottom>
      <diagonal/>
    </border>
    <border>
      <left style="thin">
        <color indexed="64"/>
      </left>
      <right/>
      <top style="medium">
        <color indexed="64"/>
      </top>
      <bottom style="medium">
        <color theme="6" tint="0.59999389629810485"/>
      </bottom>
      <diagonal/>
    </border>
    <border>
      <left/>
      <right style="medium">
        <color theme="6" tint="0.59999389629810485"/>
      </right>
      <top style="medium">
        <color indexed="64"/>
      </top>
      <bottom style="medium">
        <color theme="6" tint="0.59999389629810485"/>
      </bottom>
      <diagonal/>
    </border>
    <border>
      <left style="dashDotDot">
        <color theme="6" tint="-0.499984740745262"/>
      </left>
      <right style="dashDotDot">
        <color theme="6" tint="-0.499984740745262"/>
      </right>
      <top style="dashDotDot">
        <color theme="6" tint="-0.499984740745262"/>
      </top>
      <bottom/>
      <diagonal/>
    </border>
    <border>
      <left style="dashDotDot">
        <color theme="6" tint="-0.499984740745262"/>
      </left>
      <right style="dashDotDot">
        <color theme="6" tint="-0.499984740745262"/>
      </right>
      <top/>
      <bottom/>
      <diagonal/>
    </border>
    <border>
      <left style="dashDotDot">
        <color theme="6" tint="-0.499984740745262"/>
      </left>
      <right style="dashDotDot">
        <color theme="6" tint="-0.499984740745262"/>
      </right>
      <top/>
      <bottom style="dashDotDot">
        <color theme="6" tint="-0.499984740745262"/>
      </bottom>
      <diagonal/>
    </border>
    <border>
      <left style="medium">
        <color indexed="64"/>
      </left>
      <right style="medium">
        <color indexed="64"/>
      </right>
      <top/>
      <bottom/>
      <diagonal/>
    </border>
  </borders>
  <cellStyleXfs count="6">
    <xf numFmtId="0" fontId="0" fillId="0" borderId="0"/>
    <xf numFmtId="9" fontId="2" fillId="0" borderId="0" applyFont="0" applyFill="0" applyBorder="0" applyAlignment="0" applyProtection="0"/>
    <xf numFmtId="0" fontId="1" fillId="0" borderId="0"/>
    <xf numFmtId="0" fontId="11" fillId="0" borderId="0"/>
    <xf numFmtId="164" fontId="2" fillId="0" borderId="0" applyFont="0" applyFill="0" applyBorder="0" applyAlignment="0" applyProtection="0"/>
    <xf numFmtId="0" fontId="16" fillId="0" borderId="0"/>
  </cellStyleXfs>
  <cellXfs count="415">
    <xf numFmtId="0" fontId="0" fillId="0" borderId="0" xfId="0"/>
    <xf numFmtId="0" fontId="0" fillId="0" borderId="1" xfId="0" applyBorder="1"/>
    <xf numFmtId="0" fontId="0" fillId="0" borderId="1" xfId="0" applyBorder="1" applyAlignment="1">
      <alignment horizontal="center"/>
    </xf>
    <xf numFmtId="0" fontId="1" fillId="0" borderId="0" xfId="2"/>
    <xf numFmtId="165" fontId="11" fillId="0" borderId="1" xfId="3" applyNumberFormat="1" applyBorder="1" applyProtection="1">
      <protection hidden="1"/>
    </xf>
    <xf numFmtId="166" fontId="11" fillId="0" borderId="1" xfId="3" applyNumberFormat="1" applyBorder="1" applyProtection="1">
      <protection hidden="1"/>
    </xf>
    <xf numFmtId="0" fontId="12" fillId="0" borderId="1" xfId="3" applyFont="1" applyBorder="1" applyProtection="1">
      <protection hidden="1"/>
    </xf>
    <xf numFmtId="4" fontId="11" fillId="0" borderId="1" xfId="3" applyNumberFormat="1" applyBorder="1" applyProtection="1">
      <protection locked="0" hidden="1"/>
    </xf>
    <xf numFmtId="0" fontId="11" fillId="0" borderId="0" xfId="3" applyProtection="1">
      <protection hidden="1"/>
    </xf>
    <xf numFmtId="167" fontId="11" fillId="0" borderId="0" xfId="3" applyNumberFormat="1" applyProtection="1">
      <protection hidden="1"/>
    </xf>
    <xf numFmtId="168" fontId="11" fillId="0" borderId="0" xfId="3" applyNumberFormat="1" applyProtection="1">
      <protection hidden="1"/>
    </xf>
    <xf numFmtId="0" fontId="11" fillId="0" borderId="0" xfId="3"/>
    <xf numFmtId="0" fontId="11" fillId="0" borderId="1" xfId="3" applyBorder="1" applyProtection="1">
      <protection hidden="1"/>
    </xf>
    <xf numFmtId="0" fontId="11" fillId="2" borderId="2" xfId="3" applyFill="1" applyBorder="1" applyAlignment="1" applyProtection="1">
      <alignment horizontal="center" vertical="center" wrapText="1"/>
      <protection hidden="1"/>
    </xf>
    <xf numFmtId="0" fontId="11" fillId="0" borderId="1" xfId="3" applyBorder="1" applyProtection="1">
      <protection locked="0" hidden="1"/>
    </xf>
    <xf numFmtId="0" fontId="11" fillId="2" borderId="7" xfId="3" applyFill="1" applyBorder="1" applyAlignment="1" applyProtection="1">
      <alignment horizontal="center" vertical="center" wrapText="1"/>
      <protection hidden="1"/>
    </xf>
    <xf numFmtId="14" fontId="11" fillId="0" borderId="1" xfId="3" applyNumberFormat="1" applyBorder="1" applyProtection="1">
      <protection hidden="1"/>
    </xf>
    <xf numFmtId="0" fontId="11" fillId="2" borderId="4" xfId="3" applyFill="1" applyBorder="1" applyAlignment="1" applyProtection="1">
      <alignment horizontal="center" wrapText="1"/>
      <protection hidden="1"/>
    </xf>
    <xf numFmtId="4" fontId="13" fillId="2" borderId="4" xfId="3" applyNumberFormat="1" applyFont="1" applyFill="1" applyBorder="1" applyAlignment="1" applyProtection="1">
      <alignment horizontal="center" vertical="center" wrapText="1"/>
      <protection hidden="1"/>
    </xf>
    <xf numFmtId="0" fontId="11" fillId="2" borderId="9" xfId="3" applyFill="1" applyBorder="1" applyAlignment="1" applyProtection="1">
      <alignment horizontal="center" wrapText="1"/>
      <protection hidden="1"/>
    </xf>
    <xf numFmtId="0" fontId="11" fillId="2" borderId="0" xfId="3" applyFill="1" applyAlignment="1" applyProtection="1">
      <alignment horizontal="center" wrapText="1"/>
      <protection hidden="1"/>
    </xf>
    <xf numFmtId="4" fontId="14" fillId="2" borderId="4" xfId="3" applyNumberFormat="1" applyFont="1" applyFill="1" applyBorder="1" applyAlignment="1" applyProtection="1">
      <alignment horizontal="right" wrapText="1"/>
      <protection hidden="1"/>
    </xf>
    <xf numFmtId="0" fontId="11" fillId="0" borderId="1" xfId="3" applyBorder="1" applyAlignment="1" applyProtection="1">
      <alignment wrapText="1"/>
      <protection hidden="1"/>
    </xf>
    <xf numFmtId="14" fontId="11" fillId="0" borderId="1" xfId="3" applyNumberFormat="1" applyBorder="1" applyAlignment="1" applyProtection="1">
      <alignment wrapText="1"/>
      <protection hidden="1"/>
    </xf>
    <xf numFmtId="0" fontId="11" fillId="0" borderId="1" xfId="3" applyBorder="1" applyAlignment="1" applyProtection="1">
      <alignment horizontal="center" vertical="center" wrapText="1"/>
      <protection hidden="1"/>
    </xf>
    <xf numFmtId="4" fontId="11" fillId="0" borderId="1" xfId="3" applyNumberFormat="1" applyBorder="1" applyAlignment="1" applyProtection="1">
      <alignment wrapText="1"/>
      <protection hidden="1"/>
    </xf>
    <xf numFmtId="4" fontId="11" fillId="0" borderId="1" xfId="3" applyNumberFormat="1" applyBorder="1" applyProtection="1">
      <protection hidden="1"/>
    </xf>
    <xf numFmtId="165" fontId="11" fillId="0" borderId="1" xfId="3" applyNumberFormat="1" applyBorder="1" applyAlignment="1" applyProtection="1">
      <alignment wrapText="1"/>
      <protection hidden="1"/>
    </xf>
    <xf numFmtId="4" fontId="11" fillId="0" borderId="4" xfId="3" applyNumberFormat="1" applyBorder="1" applyAlignment="1" applyProtection="1">
      <alignment wrapText="1"/>
      <protection hidden="1"/>
    </xf>
    <xf numFmtId="4" fontId="11" fillId="0" borderId="0" xfId="3" applyNumberFormat="1" applyProtection="1">
      <protection hidden="1"/>
    </xf>
    <xf numFmtId="0" fontId="11" fillId="0" borderId="0" xfId="3" applyAlignment="1">
      <alignment horizontal="center" vertical="center"/>
    </xf>
    <xf numFmtId="169" fontId="11" fillId="0" borderId="1" xfId="3" applyNumberFormat="1" applyBorder="1" applyAlignment="1" applyProtection="1">
      <alignment wrapText="1"/>
      <protection hidden="1"/>
    </xf>
    <xf numFmtId="164" fontId="11" fillId="0" borderId="0" xfId="4" applyFont="1" applyProtection="1">
      <protection hidden="1"/>
    </xf>
    <xf numFmtId="14" fontId="11" fillId="0" borderId="0" xfId="3" applyNumberFormat="1" applyProtection="1">
      <protection hidden="1"/>
    </xf>
    <xf numFmtId="0" fontId="11" fillId="0" borderId="1" xfId="1" applyNumberFormat="1" applyFont="1" applyBorder="1" applyAlignment="1" applyProtection="1">
      <alignment wrapText="1"/>
      <protection hidden="1"/>
    </xf>
    <xf numFmtId="0" fontId="15" fillId="0" borderId="0" xfId="3" applyFont="1" applyProtection="1">
      <protection hidden="1"/>
    </xf>
    <xf numFmtId="10" fontId="11" fillId="0" borderId="0" xfId="3" applyNumberFormat="1"/>
    <xf numFmtId="9" fontId="11" fillId="0" borderId="0" xfId="3" applyNumberFormat="1" applyProtection="1">
      <protection hidden="1"/>
    </xf>
    <xf numFmtId="9" fontId="11" fillId="0" borderId="1" xfId="3" applyNumberFormat="1" applyBorder="1" applyProtection="1">
      <protection hidden="1"/>
    </xf>
    <xf numFmtId="10" fontId="11" fillId="0" borderId="1" xfId="3" applyNumberFormat="1" applyBorder="1"/>
    <xf numFmtId="10" fontId="11" fillId="0" borderId="0" xfId="3" applyNumberFormat="1" applyProtection="1">
      <protection hidden="1"/>
    </xf>
    <xf numFmtId="0" fontId="16" fillId="0" borderId="0" xfId="5"/>
    <xf numFmtId="0" fontId="16" fillId="3" borderId="0" xfId="5" applyFill="1"/>
    <xf numFmtId="0" fontId="17" fillId="3" borderId="18" xfId="5" applyFont="1" applyFill="1" applyBorder="1"/>
    <xf numFmtId="0" fontId="16" fillId="3" borderId="19" xfId="5" applyFill="1" applyBorder="1"/>
    <xf numFmtId="0" fontId="35" fillId="3" borderId="18" xfId="5" applyFont="1" applyFill="1" applyBorder="1"/>
    <xf numFmtId="0" fontId="17" fillId="0" borderId="0" xfId="5" applyFont="1"/>
    <xf numFmtId="0" fontId="34" fillId="0" borderId="0" xfId="5" applyFont="1" applyAlignment="1">
      <alignment horizontal="center"/>
    </xf>
    <xf numFmtId="0" fontId="36" fillId="3" borderId="0" xfId="5" applyFont="1" applyFill="1"/>
    <xf numFmtId="4" fontId="11" fillId="0" borderId="1" xfId="1" applyNumberFormat="1" applyFont="1" applyBorder="1" applyProtection="1">
      <protection locked="0" hidden="1"/>
    </xf>
    <xf numFmtId="0" fontId="16" fillId="5" borderId="0" xfId="5" applyFill="1"/>
    <xf numFmtId="0" fontId="18" fillId="3" borderId="0" xfId="5" applyFont="1" applyFill="1"/>
    <xf numFmtId="0" fontId="1" fillId="5" borderId="0" xfId="2" applyFill="1"/>
    <xf numFmtId="4" fontId="16" fillId="5" borderId="0" xfId="5" applyNumberFormat="1" applyFill="1"/>
    <xf numFmtId="4" fontId="39" fillId="5" borderId="0" xfId="5" applyNumberFormat="1" applyFont="1" applyFill="1" applyAlignment="1">
      <alignment vertical="center" wrapText="1"/>
    </xf>
    <xf numFmtId="0" fontId="16" fillId="5" borderId="0" xfId="5" applyFill="1" applyProtection="1">
      <protection hidden="1"/>
    </xf>
    <xf numFmtId="4" fontId="40" fillId="5" borderId="0" xfId="5" applyNumberFormat="1" applyFont="1" applyFill="1" applyAlignment="1" applyProtection="1">
      <alignment vertical="center" wrapText="1"/>
      <protection hidden="1"/>
    </xf>
    <xf numFmtId="4" fontId="40" fillId="5" borderId="0" xfId="5" applyNumberFormat="1" applyFont="1" applyFill="1" applyAlignment="1">
      <alignment vertical="center" wrapText="1"/>
    </xf>
    <xf numFmtId="4" fontId="1" fillId="5" borderId="0" xfId="2" applyNumberFormat="1" applyFill="1"/>
    <xf numFmtId="0" fontId="11" fillId="0" borderId="1" xfId="3" applyBorder="1"/>
    <xf numFmtId="10" fontId="11" fillId="0" borderId="1" xfId="3" applyNumberFormat="1" applyBorder="1" applyProtection="1">
      <protection hidden="1"/>
    </xf>
    <xf numFmtId="4" fontId="33" fillId="5" borderId="0" xfId="5" applyNumberFormat="1" applyFont="1" applyFill="1"/>
    <xf numFmtId="0" fontId="16" fillId="3" borderId="0" xfId="5" applyFill="1" applyProtection="1">
      <protection locked="0"/>
    </xf>
    <xf numFmtId="0" fontId="16" fillId="0" borderId="0" xfId="5" applyProtection="1">
      <protection locked="0"/>
    </xf>
    <xf numFmtId="0" fontId="16" fillId="3" borderId="44" xfId="5" applyFill="1" applyBorder="1" applyProtection="1">
      <protection locked="0"/>
    </xf>
    <xf numFmtId="0" fontId="20" fillId="3" borderId="45" xfId="5" applyFont="1" applyFill="1" applyBorder="1" applyProtection="1">
      <protection locked="0"/>
    </xf>
    <xf numFmtId="2" fontId="21" fillId="3" borderId="0" xfId="2" applyNumberFormat="1" applyFont="1" applyFill="1" applyAlignment="1" applyProtection="1">
      <alignment horizontal="center" vertical="center" wrapText="1"/>
      <protection locked="0"/>
    </xf>
    <xf numFmtId="0" fontId="22" fillId="3" borderId="0" xfId="5" applyFont="1" applyFill="1" applyProtection="1">
      <protection locked="0"/>
    </xf>
    <xf numFmtId="0" fontId="20" fillId="3" borderId="0" xfId="5" applyFont="1" applyFill="1" applyProtection="1">
      <protection locked="0"/>
    </xf>
    <xf numFmtId="0" fontId="0" fillId="0" borderId="0" xfId="0" applyProtection="1">
      <protection locked="0"/>
    </xf>
    <xf numFmtId="0" fontId="24" fillId="5" borderId="46" xfId="2" applyFont="1" applyFill="1" applyBorder="1" applyAlignment="1" applyProtection="1">
      <alignment horizontal="center" vertical="center" wrapText="1"/>
      <protection locked="0"/>
    </xf>
    <xf numFmtId="2" fontId="25" fillId="0" borderId="0" xfId="0" applyNumberFormat="1" applyFont="1" applyAlignment="1" applyProtection="1">
      <alignment horizontal="center" vertical="center" wrapText="1"/>
      <protection locked="0"/>
    </xf>
    <xf numFmtId="0" fontId="23" fillId="8" borderId="1" xfId="5" applyFont="1" applyFill="1" applyBorder="1" applyAlignment="1" applyProtection="1">
      <alignment horizontal="center" vertical="center" wrapText="1"/>
      <protection locked="0" hidden="1"/>
    </xf>
    <xf numFmtId="2" fontId="25" fillId="0" borderId="1" xfId="0" applyNumberFormat="1"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4" fontId="16" fillId="0" borderId="0" xfId="5" applyNumberFormat="1" applyProtection="1">
      <protection locked="0"/>
    </xf>
    <xf numFmtId="9" fontId="22" fillId="3" borderId="0" xfId="5" applyNumberFormat="1" applyFont="1" applyFill="1" applyProtection="1">
      <protection locked="0"/>
    </xf>
    <xf numFmtId="2" fontId="21" fillId="0" borderId="2" xfId="0" applyNumberFormat="1" applyFont="1" applyBorder="1" applyAlignment="1" applyProtection="1">
      <alignment horizontal="center" vertical="center" wrapText="1"/>
      <protection locked="0"/>
    </xf>
    <xf numFmtId="2" fontId="21" fillId="0" borderId="0" xfId="0" applyNumberFormat="1" applyFont="1" applyAlignment="1" applyProtection="1">
      <alignment horizontal="center" vertical="center" wrapText="1"/>
      <protection locked="0"/>
    </xf>
    <xf numFmtId="171" fontId="31" fillId="3" borderId="14" xfId="5"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vertical="center" wrapText="1"/>
      <protection locked="0"/>
    </xf>
    <xf numFmtId="176" fontId="16" fillId="0" borderId="0" xfId="5" applyNumberFormat="1" applyProtection="1">
      <protection locked="0"/>
    </xf>
    <xf numFmtId="2" fontId="21" fillId="0" borderId="1" xfId="0" applyNumberFormat="1" applyFont="1" applyBorder="1" applyAlignment="1" applyProtection="1">
      <alignment horizontal="center" vertical="center" wrapText="1"/>
      <protection locked="0"/>
    </xf>
    <xf numFmtId="4" fontId="33" fillId="3" borderId="1" xfId="5" applyNumberFormat="1" applyFont="1" applyFill="1" applyBorder="1" applyAlignment="1" applyProtection="1">
      <alignment horizontal="center"/>
      <protection locked="0"/>
    </xf>
    <xf numFmtId="4" fontId="33" fillId="3" borderId="6" xfId="5" applyNumberFormat="1" applyFont="1" applyFill="1" applyBorder="1" applyAlignment="1" applyProtection="1">
      <alignment horizontal="center"/>
      <protection locked="0"/>
    </xf>
    <xf numFmtId="167" fontId="3" fillId="0" borderId="1" xfId="0" applyNumberFormat="1" applyFont="1" applyBorder="1" applyAlignment="1" applyProtection="1">
      <alignment wrapText="1"/>
      <protection locked="0" hidden="1"/>
    </xf>
    <xf numFmtId="172" fontId="33" fillId="3" borderId="1" xfId="5" applyNumberFormat="1" applyFont="1" applyFill="1" applyBorder="1" applyProtection="1">
      <protection locked="0"/>
    </xf>
    <xf numFmtId="173" fontId="33" fillId="3" borderId="6" xfId="5" applyNumberFormat="1" applyFont="1" applyFill="1" applyBorder="1" applyProtection="1">
      <protection locked="0"/>
    </xf>
    <xf numFmtId="0" fontId="24" fillId="5" borderId="47" xfId="2" applyFont="1" applyFill="1" applyBorder="1" applyAlignment="1" applyProtection="1">
      <alignment horizontal="center" vertical="center" wrapText="1"/>
      <protection locked="0"/>
    </xf>
    <xf numFmtId="0" fontId="24" fillId="5" borderId="49" xfId="2" applyFont="1" applyFill="1" applyBorder="1" applyAlignment="1" applyProtection="1">
      <alignment horizontal="center" vertical="center" wrapText="1"/>
      <protection locked="0"/>
    </xf>
    <xf numFmtId="2" fontId="8" fillId="5" borderId="0" xfId="2" applyNumberFormat="1" applyFont="1" applyFill="1" applyAlignment="1" applyProtection="1">
      <alignment horizontal="center" vertical="center" wrapText="1"/>
      <protection locked="0"/>
    </xf>
    <xf numFmtId="0" fontId="24" fillId="5" borderId="50" xfId="2" applyFont="1" applyFill="1" applyBorder="1" applyAlignment="1" applyProtection="1">
      <alignment horizontal="center" vertical="center" wrapText="1"/>
      <protection locked="0"/>
    </xf>
    <xf numFmtId="0" fontId="16" fillId="3" borderId="1" xfId="5" applyFill="1" applyBorder="1" applyProtection="1">
      <protection locked="0"/>
    </xf>
    <xf numFmtId="172" fontId="16" fillId="3" borderId="0" xfId="5" applyNumberFormat="1" applyFill="1" applyProtection="1">
      <protection locked="0"/>
    </xf>
    <xf numFmtId="0" fontId="20" fillId="3" borderId="0" xfId="5" applyFont="1" applyFill="1" applyAlignment="1" applyProtection="1">
      <alignment horizontal="center"/>
      <protection locked="0"/>
    </xf>
    <xf numFmtId="10" fontId="20" fillId="3" borderId="1" xfId="1" applyNumberFormat="1" applyFont="1" applyFill="1" applyBorder="1" applyAlignment="1" applyProtection="1">
      <alignment horizontal="center"/>
      <protection locked="0"/>
    </xf>
    <xf numFmtId="0" fontId="16" fillId="3" borderId="0" xfId="5" applyFill="1" applyAlignment="1" applyProtection="1">
      <alignment horizontal="center" vertical="center"/>
      <protection locked="0"/>
    </xf>
    <xf numFmtId="10" fontId="16" fillId="3" borderId="1" xfId="1" applyNumberFormat="1" applyFont="1" applyFill="1" applyBorder="1" applyAlignment="1" applyProtection="1">
      <alignment horizontal="center" vertical="center"/>
      <protection locked="0"/>
    </xf>
    <xf numFmtId="0" fontId="16" fillId="5" borderId="0" xfId="5" applyFill="1" applyProtection="1">
      <protection locked="0"/>
    </xf>
    <xf numFmtId="0" fontId="16" fillId="3" borderId="32" xfId="5" applyFill="1" applyBorder="1" applyProtection="1">
      <protection locked="0"/>
    </xf>
    <xf numFmtId="4" fontId="16" fillId="3" borderId="33" xfId="5" applyNumberFormat="1" applyFill="1" applyBorder="1" applyProtection="1">
      <protection locked="0"/>
    </xf>
    <xf numFmtId="0" fontId="16" fillId="3" borderId="14" xfId="5" applyFill="1" applyBorder="1" applyProtection="1">
      <protection locked="0"/>
    </xf>
    <xf numFmtId="4" fontId="16" fillId="3" borderId="34" xfId="5" applyNumberFormat="1" applyFill="1" applyBorder="1" applyProtection="1">
      <protection locked="0"/>
    </xf>
    <xf numFmtId="174" fontId="16" fillId="0" borderId="0" xfId="5" applyNumberFormat="1" applyProtection="1">
      <protection locked="0"/>
    </xf>
    <xf numFmtId="0" fontId="37" fillId="3" borderId="35" xfId="5" applyFont="1" applyFill="1" applyBorder="1" applyProtection="1">
      <protection locked="0"/>
    </xf>
    <xf numFmtId="0" fontId="16" fillId="3" borderId="36" xfId="5" applyFill="1" applyBorder="1" applyProtection="1">
      <protection locked="0"/>
    </xf>
    <xf numFmtId="0" fontId="17" fillId="3" borderId="35" xfId="5" applyFont="1" applyFill="1" applyBorder="1" applyProtection="1">
      <protection locked="0"/>
    </xf>
    <xf numFmtId="0" fontId="16" fillId="3" borderId="37" xfId="5" applyFill="1" applyBorder="1" applyProtection="1">
      <protection locked="0"/>
    </xf>
    <xf numFmtId="14" fontId="16" fillId="3" borderId="35" xfId="5" applyNumberFormat="1" applyFill="1" applyBorder="1" applyProtection="1">
      <protection locked="0"/>
    </xf>
    <xf numFmtId="0" fontId="16" fillId="3" borderId="4" xfId="5" applyFill="1" applyBorder="1" applyProtection="1">
      <protection locked="0"/>
    </xf>
    <xf numFmtId="4" fontId="22" fillId="3" borderId="12" xfId="5" applyNumberFormat="1" applyFont="1" applyFill="1" applyBorder="1" applyProtection="1">
      <protection locked="0"/>
    </xf>
    <xf numFmtId="0" fontId="16" fillId="3" borderId="38" xfId="5" applyFill="1" applyBorder="1" applyProtection="1">
      <protection locked="0"/>
    </xf>
    <xf numFmtId="0" fontId="16" fillId="3" borderId="39" xfId="5" applyFill="1" applyBorder="1" applyProtection="1">
      <protection locked="0"/>
    </xf>
    <xf numFmtId="4" fontId="34" fillId="5" borderId="0" xfId="5" applyNumberFormat="1" applyFont="1" applyFill="1"/>
    <xf numFmtId="0" fontId="16" fillId="3" borderId="40" xfId="5" applyFill="1" applyBorder="1" applyProtection="1">
      <protection locked="0"/>
    </xf>
    <xf numFmtId="0" fontId="16" fillId="3" borderId="35" xfId="5" applyFill="1" applyBorder="1" applyProtection="1">
      <protection locked="0"/>
    </xf>
    <xf numFmtId="0" fontId="38" fillId="3" borderId="0" xfId="5" applyFont="1" applyFill="1" applyProtection="1">
      <protection locked="0"/>
    </xf>
    <xf numFmtId="4" fontId="38" fillId="3" borderId="0" xfId="5" applyNumberFormat="1" applyFont="1" applyFill="1" applyProtection="1">
      <protection locked="0"/>
    </xf>
    <xf numFmtId="0" fontId="33" fillId="5" borderId="0" xfId="5" applyFont="1" applyFill="1"/>
    <xf numFmtId="0" fontId="36" fillId="3" borderId="12" xfId="5" applyFont="1" applyFill="1" applyBorder="1" applyProtection="1">
      <protection locked="0"/>
    </xf>
    <xf numFmtId="3" fontId="16" fillId="3" borderId="12" xfId="5" applyNumberFormat="1" applyFill="1" applyBorder="1" applyProtection="1">
      <protection locked="0"/>
    </xf>
    <xf numFmtId="14" fontId="0" fillId="0" borderId="1" xfId="0" applyNumberFormat="1" applyBorder="1" applyProtection="1">
      <protection locked="0"/>
    </xf>
    <xf numFmtId="0" fontId="0" fillId="0" borderId="1" xfId="0" applyBorder="1" applyProtection="1">
      <protection locked="0"/>
    </xf>
    <xf numFmtId="173" fontId="22" fillId="3" borderId="0" xfId="5" applyNumberFormat="1" applyFont="1" applyFill="1" applyProtection="1">
      <protection locked="0"/>
    </xf>
    <xf numFmtId="173" fontId="16" fillId="3" borderId="0" xfId="5" applyNumberFormat="1" applyFill="1" applyProtection="1">
      <protection locked="0"/>
    </xf>
    <xf numFmtId="4" fontId="39" fillId="5" borderId="0" xfId="5" applyNumberFormat="1" applyFont="1" applyFill="1" applyAlignment="1" applyProtection="1">
      <alignment vertical="center" wrapText="1"/>
      <protection locked="0"/>
    </xf>
    <xf numFmtId="4" fontId="16" fillId="3" borderId="1" xfId="5" applyNumberFormat="1" applyFill="1" applyBorder="1" applyProtection="1">
      <protection locked="0"/>
    </xf>
    <xf numFmtId="0" fontId="16" fillId="3" borderId="1" xfId="5" applyFill="1" applyBorder="1" applyAlignment="1" applyProtection="1">
      <alignment horizontal="center" vertical="center"/>
      <protection locked="0"/>
    </xf>
    <xf numFmtId="0" fontId="16" fillId="0" borderId="1" xfId="5" applyBorder="1" applyAlignment="1" applyProtection="1">
      <alignment horizontal="center" vertical="center"/>
      <protection locked="0"/>
    </xf>
    <xf numFmtId="0" fontId="32" fillId="0" borderId="0" xfId="0" applyFont="1" applyAlignment="1" applyProtection="1">
      <alignment horizontal="center" vertical="center" wrapText="1"/>
      <protection locked="0"/>
    </xf>
    <xf numFmtId="167" fontId="3" fillId="0" borderId="6" xfId="0" applyNumberFormat="1" applyFont="1" applyBorder="1" applyAlignment="1" applyProtection="1">
      <alignment wrapText="1"/>
      <protection locked="0" hidden="1"/>
    </xf>
    <xf numFmtId="172" fontId="48" fillId="0" borderId="0" xfId="0" applyNumberFormat="1" applyFont="1" applyAlignment="1" applyProtection="1">
      <alignment horizontal="center" vertical="center" wrapText="1"/>
      <protection locked="0"/>
    </xf>
    <xf numFmtId="2" fontId="48" fillId="0" borderId="0" xfId="0" applyNumberFormat="1" applyFont="1" applyAlignment="1" applyProtection="1">
      <alignment horizontal="center" vertical="center" wrapText="1"/>
      <protection locked="0"/>
    </xf>
    <xf numFmtId="2" fontId="29" fillId="0" borderId="0" xfId="0" applyNumberFormat="1" applyFont="1" applyAlignment="1" applyProtection="1">
      <alignment horizontal="center" vertical="center" wrapText="1"/>
      <protection locked="0"/>
    </xf>
    <xf numFmtId="4" fontId="36" fillId="4" borderId="16" xfId="5" applyNumberFormat="1" applyFont="1" applyFill="1" applyBorder="1" applyAlignment="1" applyProtection="1">
      <alignment vertical="center" wrapText="1"/>
      <protection hidden="1"/>
    </xf>
    <xf numFmtId="0" fontId="47" fillId="5" borderId="0" xfId="0" applyFont="1" applyFill="1" applyAlignment="1" applyProtection="1">
      <alignment horizontal="center" vertical="center" wrapText="1"/>
      <protection locked="0"/>
    </xf>
    <xf numFmtId="4" fontId="36" fillId="4" borderId="20" xfId="5" applyNumberFormat="1" applyFont="1" applyFill="1" applyBorder="1" applyAlignment="1" applyProtection="1">
      <alignment vertical="center" wrapText="1"/>
      <protection hidden="1"/>
    </xf>
    <xf numFmtId="175" fontId="16" fillId="5" borderId="0" xfId="5" applyNumberFormat="1" applyFill="1" applyProtection="1">
      <protection locked="0"/>
    </xf>
    <xf numFmtId="175" fontId="16" fillId="5" borderId="0" xfId="5" applyNumberFormat="1" applyFill="1"/>
    <xf numFmtId="4" fontId="34" fillId="5" borderId="0" xfId="5" applyNumberFormat="1" applyFont="1" applyFill="1" applyProtection="1">
      <protection locked="0"/>
    </xf>
    <xf numFmtId="4" fontId="42" fillId="7" borderId="16" xfId="5" applyNumberFormat="1" applyFont="1" applyFill="1" applyBorder="1" applyAlignment="1" applyProtection="1">
      <alignment vertical="center" wrapText="1"/>
      <protection hidden="1"/>
    </xf>
    <xf numFmtId="4" fontId="42" fillId="7" borderId="18" xfId="5" applyNumberFormat="1" applyFont="1" applyFill="1" applyBorder="1" applyAlignment="1" applyProtection="1">
      <alignment vertical="center" wrapText="1"/>
      <protection hidden="1"/>
    </xf>
    <xf numFmtId="4" fontId="42" fillId="7" borderId="20" xfId="5" applyNumberFormat="1" applyFont="1" applyFill="1" applyBorder="1" applyAlignment="1" applyProtection="1">
      <alignment vertical="center" wrapText="1"/>
      <protection hidden="1"/>
    </xf>
    <xf numFmtId="0" fontId="38" fillId="3" borderId="0" xfId="5" applyFont="1" applyFill="1" applyAlignment="1" applyProtection="1">
      <alignment horizontal="center" vertical="center"/>
      <protection locked="0"/>
    </xf>
    <xf numFmtId="173" fontId="43" fillId="3" borderId="43" xfId="5" applyNumberFormat="1" applyFont="1" applyFill="1" applyBorder="1" applyAlignment="1" applyProtection="1">
      <alignment horizontal="right" vertical="center"/>
      <protection locked="0"/>
    </xf>
    <xf numFmtId="4" fontId="43" fillId="3" borderId="43" xfId="5" applyNumberFormat="1" applyFont="1" applyFill="1" applyBorder="1" applyAlignment="1" applyProtection="1">
      <alignment horizontal="right" vertical="center"/>
      <protection locked="0"/>
    </xf>
    <xf numFmtId="4" fontId="16" fillId="3" borderId="1" xfId="5" applyNumberFormat="1" applyFill="1" applyBorder="1" applyAlignment="1" applyProtection="1">
      <alignment horizontal="center" vertical="center"/>
      <protection locked="0"/>
    </xf>
    <xf numFmtId="4" fontId="49" fillId="0" borderId="0" xfId="5" applyNumberFormat="1" applyFont="1" applyAlignment="1">
      <alignment vertical="center"/>
    </xf>
    <xf numFmtId="176" fontId="16" fillId="3" borderId="0" xfId="5" applyNumberFormat="1" applyFill="1" applyProtection="1">
      <protection locked="0"/>
    </xf>
    <xf numFmtId="0" fontId="11" fillId="2" borderId="10" xfId="3" applyFill="1" applyBorder="1" applyAlignment="1" applyProtection="1">
      <alignment horizontal="center" vertical="center" wrapText="1"/>
      <protection hidden="1"/>
    </xf>
    <xf numFmtId="0" fontId="11" fillId="0" borderId="11" xfId="3" applyBorder="1" applyAlignment="1" applyProtection="1">
      <alignment horizontal="center"/>
      <protection hidden="1"/>
    </xf>
    <xf numFmtId="0" fontId="11" fillId="2" borderId="3" xfId="3" applyFill="1" applyBorder="1" applyAlignment="1" applyProtection="1">
      <alignment horizontal="center" vertical="center" wrapText="1"/>
      <protection hidden="1"/>
    </xf>
    <xf numFmtId="167" fontId="11" fillId="2" borderId="2" xfId="3" applyNumberFormat="1" applyFill="1" applyBorder="1" applyAlignment="1" applyProtection="1">
      <alignment horizontal="center" vertical="center" wrapText="1"/>
      <protection hidden="1"/>
    </xf>
    <xf numFmtId="167" fontId="11" fillId="2" borderId="3" xfId="3" applyNumberFormat="1" applyFill="1" applyBorder="1" applyAlignment="1" applyProtection="1">
      <alignment horizontal="center" vertical="center" wrapText="1"/>
      <protection hidden="1"/>
    </xf>
    <xf numFmtId="167" fontId="11" fillId="2" borderId="4" xfId="3" applyNumberFormat="1" applyFill="1" applyBorder="1" applyAlignment="1" applyProtection="1">
      <alignment horizontal="center" vertical="center" wrapText="1"/>
      <protection hidden="1"/>
    </xf>
    <xf numFmtId="0" fontId="11" fillId="2" borderId="5" xfId="3" applyFill="1" applyBorder="1" applyAlignment="1" applyProtection="1">
      <alignment horizontal="center" vertical="center" wrapText="1"/>
      <protection hidden="1"/>
    </xf>
    <xf numFmtId="0" fontId="11" fillId="2" borderId="22" xfId="3" applyFill="1" applyBorder="1" applyAlignment="1" applyProtection="1">
      <alignment horizontal="center" vertical="center" wrapText="1"/>
      <protection hidden="1"/>
    </xf>
    <xf numFmtId="0" fontId="11" fillId="2" borderId="8" xfId="3" applyFill="1" applyBorder="1" applyAlignment="1" applyProtection="1">
      <alignment horizontal="center" vertical="center" wrapText="1"/>
      <protection hidden="1"/>
    </xf>
    <xf numFmtId="0" fontId="50" fillId="5" borderId="0" xfId="0" applyFont="1" applyFill="1" applyAlignment="1">
      <alignment horizontal="center" vertical="center"/>
    </xf>
    <xf numFmtId="0" fontId="51" fillId="5" borderId="0" xfId="0" applyFont="1" applyFill="1" applyAlignment="1">
      <alignment horizontal="center" vertical="center"/>
    </xf>
    <xf numFmtId="0" fontId="50" fillId="5" borderId="0" xfId="0" applyFont="1" applyFill="1"/>
    <xf numFmtId="0" fontId="51" fillId="5" borderId="0" xfId="0" applyFont="1" applyFill="1"/>
    <xf numFmtId="4" fontId="51" fillId="5" borderId="0" xfId="0" applyNumberFormat="1" applyFont="1" applyFill="1"/>
    <xf numFmtId="4" fontId="50" fillId="5" borderId="0" xfId="0" applyNumberFormat="1" applyFont="1" applyFill="1"/>
    <xf numFmtId="0" fontId="16" fillId="11" borderId="23" xfId="5" applyFill="1" applyBorder="1"/>
    <xf numFmtId="0" fontId="18" fillId="11" borderId="23" xfId="5" applyFont="1" applyFill="1" applyBorder="1"/>
    <xf numFmtId="1" fontId="19" fillId="11" borderId="23" xfId="5" applyNumberFormat="1" applyFont="1" applyFill="1" applyBorder="1" applyAlignment="1">
      <alignment horizontal="center" vertical="top" wrapText="1"/>
    </xf>
    <xf numFmtId="0" fontId="16" fillId="11" borderId="17" xfId="5" applyFill="1" applyBorder="1"/>
    <xf numFmtId="0" fontId="17" fillId="11" borderId="16" xfId="5" applyFont="1" applyFill="1" applyBorder="1"/>
    <xf numFmtId="2" fontId="3" fillId="0" borderId="1" xfId="0" applyNumberFormat="1" applyFont="1" applyBorder="1" applyAlignment="1" applyProtection="1">
      <alignment horizontal="center" vertical="center" wrapText="1"/>
      <protection locked="0"/>
    </xf>
    <xf numFmtId="0" fontId="53" fillId="3" borderId="0" xfId="5" applyFont="1" applyFill="1"/>
    <xf numFmtId="0" fontId="54" fillId="0" borderId="0" xfId="2" applyFont="1"/>
    <xf numFmtId="0" fontId="55" fillId="0" borderId="0" xfId="5" applyFont="1"/>
    <xf numFmtId="0" fontId="55" fillId="5" borderId="0" xfId="5" applyFont="1" applyFill="1"/>
    <xf numFmtId="0" fontId="55" fillId="3" borderId="0" xfId="5" applyFont="1" applyFill="1"/>
    <xf numFmtId="0" fontId="55" fillId="0" borderId="21" xfId="2" applyFont="1" applyBorder="1" applyAlignment="1" applyProtection="1">
      <alignment horizontal="center" vertical="center"/>
      <protection hidden="1"/>
    </xf>
    <xf numFmtId="176" fontId="53" fillId="10" borderId="21" xfId="5" applyNumberFormat="1" applyFont="1" applyFill="1" applyBorder="1" applyAlignment="1" applyProtection="1">
      <alignment horizontal="center" vertical="center"/>
      <protection hidden="1"/>
    </xf>
    <xf numFmtId="0" fontId="53" fillId="5" borderId="12" xfId="5" applyFont="1" applyFill="1" applyBorder="1" applyAlignment="1" applyProtection="1">
      <alignment horizontal="center" vertical="center"/>
      <protection locked="0"/>
    </xf>
    <xf numFmtId="167" fontId="3" fillId="0" borderId="10" xfId="0" applyNumberFormat="1" applyFont="1" applyBorder="1" applyAlignment="1" applyProtection="1">
      <alignment wrapText="1"/>
      <protection locked="0" hidden="1"/>
    </xf>
    <xf numFmtId="172" fontId="33" fillId="3" borderId="10" xfId="5" applyNumberFormat="1" applyFont="1" applyFill="1" applyBorder="1" applyProtection="1">
      <protection locked="0"/>
    </xf>
    <xf numFmtId="167" fontId="3" fillId="0" borderId="0" xfId="0" applyNumberFormat="1" applyFont="1" applyAlignment="1" applyProtection="1">
      <alignment wrapText="1"/>
      <protection locked="0" hidden="1"/>
    </xf>
    <xf numFmtId="173" fontId="43" fillId="3" borderId="0" xfId="5" applyNumberFormat="1" applyFont="1" applyFill="1" applyAlignment="1" applyProtection="1">
      <alignment horizontal="right" vertical="center"/>
      <protection locked="0"/>
    </xf>
    <xf numFmtId="4" fontId="43" fillId="3" borderId="0" xfId="5" applyNumberFormat="1" applyFont="1" applyFill="1" applyAlignment="1" applyProtection="1">
      <alignment vertical="center"/>
      <protection locked="0"/>
    </xf>
    <xf numFmtId="4" fontId="16" fillId="3" borderId="1" xfId="5" applyNumberFormat="1" applyFill="1" applyBorder="1" applyAlignment="1" applyProtection="1">
      <alignment horizontal="center"/>
      <protection locked="0"/>
    </xf>
    <xf numFmtId="167" fontId="3" fillId="0" borderId="53" xfId="0" applyNumberFormat="1" applyFont="1" applyBorder="1" applyAlignment="1" applyProtection="1">
      <alignment wrapText="1"/>
      <protection locked="0" hidden="1"/>
    </xf>
    <xf numFmtId="14" fontId="56" fillId="5" borderId="25" xfId="0" applyNumberFormat="1" applyFont="1" applyFill="1" applyBorder="1" applyAlignment="1" applyProtection="1">
      <alignment wrapText="1"/>
      <protection locked="0" hidden="1"/>
    </xf>
    <xf numFmtId="0" fontId="4" fillId="5" borderId="0" xfId="0" applyFont="1" applyFill="1"/>
    <xf numFmtId="0" fontId="58" fillId="0" borderId="1"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10" fontId="41" fillId="0" borderId="1" xfId="0" applyNumberFormat="1" applyFont="1" applyBorder="1" applyAlignment="1" applyProtection="1">
      <alignment horizontal="center" vertical="center" wrapText="1"/>
      <protection locked="0"/>
    </xf>
    <xf numFmtId="10" fontId="16" fillId="0" borderId="1" xfId="1" applyNumberFormat="1" applyFont="1" applyBorder="1" applyAlignment="1" applyProtection="1">
      <alignment horizontal="center" vertical="center"/>
      <protection locked="0"/>
    </xf>
    <xf numFmtId="14" fontId="16" fillId="3" borderId="1" xfId="5" applyNumberFormat="1" applyFill="1" applyBorder="1" applyProtection="1">
      <protection locked="0"/>
    </xf>
    <xf numFmtId="0" fontId="16" fillId="0" borderId="1" xfId="5" applyBorder="1" applyProtection="1">
      <protection locked="0"/>
    </xf>
    <xf numFmtId="4" fontId="16" fillId="0" borderId="1" xfId="5" applyNumberFormat="1" applyBorder="1" applyProtection="1">
      <protection locked="0"/>
    </xf>
    <xf numFmtId="2" fontId="16" fillId="3" borderId="1" xfId="5" applyNumberFormat="1" applyFill="1" applyBorder="1" applyProtection="1">
      <protection locked="0"/>
    </xf>
    <xf numFmtId="14" fontId="56" fillId="5" borderId="25" xfId="0" applyNumberFormat="1" applyFont="1" applyFill="1" applyBorder="1" applyAlignment="1" applyProtection="1">
      <alignment vertical="center" wrapText="1"/>
      <protection locked="0"/>
    </xf>
    <xf numFmtId="4" fontId="26" fillId="0" borderId="0" xfId="0" applyNumberFormat="1" applyFont="1" applyAlignment="1" applyProtection="1">
      <alignment horizontal="center" vertical="center" wrapText="1"/>
      <protection locked="0"/>
    </xf>
    <xf numFmtId="10" fontId="16" fillId="3" borderId="1" xfId="1" applyNumberFormat="1" applyFont="1" applyFill="1" applyBorder="1" applyProtection="1">
      <protection locked="0"/>
    </xf>
    <xf numFmtId="0" fontId="41" fillId="0" borderId="0" xfId="0" applyFont="1" applyAlignment="1" applyProtection="1">
      <alignment horizontal="center" vertical="center" wrapText="1"/>
      <protection locked="0"/>
    </xf>
    <xf numFmtId="0" fontId="16" fillId="3" borderId="0" xfId="5" applyFill="1" applyAlignment="1" applyProtection="1">
      <alignment vertical="center"/>
      <protection locked="0"/>
    </xf>
    <xf numFmtId="3" fontId="33" fillId="5" borderId="0" xfId="5" applyNumberFormat="1" applyFont="1" applyFill="1"/>
    <xf numFmtId="0" fontId="59" fillId="5" borderId="0" xfId="5" applyFont="1" applyFill="1" applyAlignment="1">
      <alignment horizontal="center"/>
    </xf>
    <xf numFmtId="4" fontId="59" fillId="5" borderId="0" xfId="5" applyNumberFormat="1" applyFont="1" applyFill="1" applyAlignment="1">
      <alignment horizontal="center"/>
    </xf>
    <xf numFmtId="176" fontId="60" fillId="5" borderId="12" xfId="5" applyNumberFormat="1" applyFont="1" applyFill="1" applyBorder="1" applyAlignment="1" applyProtection="1">
      <alignment horizontal="center" vertical="center"/>
      <protection hidden="1"/>
    </xf>
    <xf numFmtId="4" fontId="59" fillId="12" borderId="0" xfId="5" applyNumberFormat="1" applyFont="1" applyFill="1" applyAlignment="1" applyProtection="1">
      <alignment horizontal="center" vertical="center" wrapText="1"/>
      <protection hidden="1"/>
    </xf>
    <xf numFmtId="4" fontId="59" fillId="5" borderId="0" xfId="5" applyNumberFormat="1" applyFont="1" applyFill="1" applyAlignment="1" applyProtection="1">
      <alignment horizontal="center"/>
      <protection hidden="1"/>
    </xf>
    <xf numFmtId="0" fontId="59" fillId="5" borderId="0" xfId="5" applyFont="1" applyFill="1" applyProtection="1">
      <protection hidden="1"/>
    </xf>
    <xf numFmtId="0" fontId="55" fillId="0" borderId="19" xfId="2" applyFont="1" applyBorder="1" applyAlignment="1" applyProtection="1">
      <alignment vertical="center"/>
      <protection hidden="1"/>
    </xf>
    <xf numFmtId="176" fontId="60" fillId="5" borderId="13" xfId="5" applyNumberFormat="1" applyFont="1" applyFill="1" applyBorder="1" applyAlignment="1" applyProtection="1">
      <alignment horizontal="center" vertical="center" wrapText="1"/>
      <protection hidden="1"/>
    </xf>
    <xf numFmtId="0" fontId="16" fillId="3" borderId="0" xfId="5" applyFill="1" applyAlignment="1" applyProtection="1">
      <alignment wrapText="1"/>
      <protection locked="0"/>
    </xf>
    <xf numFmtId="0" fontId="16" fillId="3" borderId="0" xfId="5" applyFill="1" applyAlignment="1" applyProtection="1">
      <alignment horizontal="center"/>
      <protection locked="0"/>
    </xf>
    <xf numFmtId="0" fontId="0" fillId="0" borderId="54" xfId="0" applyBorder="1"/>
    <xf numFmtId="4" fontId="16" fillId="3" borderId="54" xfId="5" applyNumberFormat="1" applyFill="1" applyBorder="1"/>
    <xf numFmtId="0" fontId="0" fillId="0" borderId="55" xfId="0" applyBorder="1"/>
    <xf numFmtId="177" fontId="16" fillId="3" borderId="55" xfId="5" applyNumberFormat="1" applyFill="1" applyBorder="1"/>
    <xf numFmtId="10" fontId="16" fillId="3" borderId="55" xfId="5" applyNumberFormat="1" applyFill="1" applyBorder="1"/>
    <xf numFmtId="3" fontId="16" fillId="3" borderId="55" xfId="5" applyNumberFormat="1" applyFill="1" applyBorder="1"/>
    <xf numFmtId="0" fontId="16" fillId="3" borderId="55" xfId="5" applyFill="1" applyBorder="1"/>
    <xf numFmtId="0" fontId="0" fillId="0" borderId="56" xfId="0" applyBorder="1"/>
    <xf numFmtId="0" fontId="16" fillId="3" borderId="56" xfId="5" applyFill="1" applyBorder="1"/>
    <xf numFmtId="172" fontId="16" fillId="3" borderId="0" xfId="5" applyNumberFormat="1" applyFill="1"/>
    <xf numFmtId="0" fontId="63" fillId="13" borderId="54" xfId="0" applyFont="1" applyFill="1" applyBorder="1"/>
    <xf numFmtId="0" fontId="56" fillId="0" borderId="54" xfId="0" applyFont="1" applyBorder="1" applyAlignment="1">
      <alignment horizontal="right" vertical="center" wrapText="1"/>
    </xf>
    <xf numFmtId="0" fontId="63" fillId="13" borderId="56" xfId="0" applyFont="1" applyFill="1" applyBorder="1"/>
    <xf numFmtId="0" fontId="0" fillId="13" borderId="56" xfId="0" applyFill="1" applyBorder="1" applyAlignment="1">
      <alignment horizontal="right" vertical="center"/>
    </xf>
    <xf numFmtId="0" fontId="63" fillId="13" borderId="55" xfId="0" applyFont="1" applyFill="1" applyBorder="1"/>
    <xf numFmtId="0" fontId="0" fillId="13" borderId="54" xfId="0" applyFill="1" applyBorder="1"/>
    <xf numFmtId="0" fontId="0" fillId="13" borderId="56" xfId="0" applyFill="1" applyBorder="1"/>
    <xf numFmtId="0" fontId="63" fillId="0" borderId="57" xfId="0" applyFont="1" applyBorder="1"/>
    <xf numFmtId="4" fontId="0" fillId="0" borderId="57" xfId="0" applyNumberFormat="1" applyBorder="1"/>
    <xf numFmtId="0" fontId="28" fillId="3" borderId="16" xfId="2" applyFont="1" applyFill="1" applyBorder="1" applyAlignment="1">
      <alignment horizontal="center" vertical="center"/>
    </xf>
    <xf numFmtId="0" fontId="28" fillId="3" borderId="23" xfId="2" applyFont="1" applyFill="1" applyBorder="1" applyAlignment="1">
      <alignment horizontal="center" vertical="center"/>
    </xf>
    <xf numFmtId="0" fontId="28" fillId="3" borderId="17" xfId="2" applyFont="1" applyFill="1" applyBorder="1" applyAlignment="1">
      <alignment horizontal="center" vertical="center"/>
    </xf>
    <xf numFmtId="4" fontId="0" fillId="0" borderId="0" xfId="0" applyNumberFormat="1" applyAlignment="1">
      <alignment horizontal="center"/>
    </xf>
    <xf numFmtId="4" fontId="64" fillId="0" borderId="58" xfId="0" applyNumberFormat="1" applyFont="1" applyBorder="1"/>
    <xf numFmtId="0" fontId="3" fillId="6" borderId="22" xfId="0" applyFont="1" applyFill="1" applyBorder="1" applyAlignment="1">
      <alignment vertical="center" wrapText="1"/>
    </xf>
    <xf numFmtId="171" fontId="30" fillId="3" borderId="59" xfId="5" applyNumberFormat="1" applyFont="1" applyFill="1" applyBorder="1" applyAlignment="1">
      <alignment horizontal="center" vertical="center" wrapText="1"/>
    </xf>
    <xf numFmtId="171" fontId="30" fillId="3" borderId="60" xfId="5" applyNumberFormat="1" applyFont="1" applyFill="1" applyBorder="1" applyAlignment="1">
      <alignment horizontal="center" vertical="center" wrapText="1"/>
    </xf>
    <xf numFmtId="171" fontId="31" fillId="3" borderId="61" xfId="5" applyNumberFormat="1" applyFont="1" applyFill="1" applyBorder="1" applyAlignment="1">
      <alignment horizontal="center" vertical="center" wrapText="1"/>
    </xf>
    <xf numFmtId="171" fontId="31" fillId="3" borderId="62" xfId="5" applyNumberFormat="1" applyFont="1" applyFill="1" applyBorder="1" applyAlignment="1">
      <alignment horizontal="center" vertical="center" wrapText="1"/>
    </xf>
    <xf numFmtId="171" fontId="31" fillId="3" borderId="60" xfId="5" applyNumberFormat="1" applyFont="1" applyFill="1" applyBorder="1" applyAlignment="1">
      <alignment horizontal="center" vertical="center" wrapText="1"/>
    </xf>
    <xf numFmtId="171" fontId="31" fillId="3" borderId="63" xfId="5" applyNumberFormat="1" applyFont="1" applyFill="1" applyBorder="1" applyAlignment="1">
      <alignment horizontal="center" vertical="center" wrapText="1"/>
    </xf>
    <xf numFmtId="4" fontId="33" fillId="3" borderId="64" xfId="5" applyNumberFormat="1" applyFont="1" applyFill="1" applyBorder="1" applyAlignment="1">
      <alignment horizontal="center" vertical="center"/>
    </xf>
    <xf numFmtId="4" fontId="65" fillId="0" borderId="65" xfId="0" applyNumberFormat="1" applyFont="1" applyBorder="1" applyAlignment="1">
      <alignment horizontal="center" vertical="center"/>
    </xf>
    <xf numFmtId="4" fontId="65" fillId="0" borderId="66" xfId="0" applyNumberFormat="1" applyFont="1" applyBorder="1" applyAlignment="1">
      <alignment horizontal="center" vertical="center"/>
    </xf>
    <xf numFmtId="4" fontId="0" fillId="0" borderId="0" xfId="0" applyNumberFormat="1"/>
    <xf numFmtId="167" fontId="3" fillId="0" borderId="5" xfId="0" applyNumberFormat="1" applyFont="1" applyBorder="1" applyAlignment="1" applyProtection="1">
      <alignment wrapText="1"/>
      <protection hidden="1"/>
    </xf>
    <xf numFmtId="4" fontId="33" fillId="3" borderId="1" xfId="5" applyNumberFormat="1" applyFont="1" applyFill="1" applyBorder="1" applyAlignment="1">
      <alignment horizontal="center" vertical="center"/>
    </xf>
    <xf numFmtId="4" fontId="33" fillId="3" borderId="6" xfId="5" applyNumberFormat="1" applyFont="1" applyFill="1" applyBorder="1" applyAlignment="1">
      <alignment horizontal="center" vertical="center"/>
    </xf>
    <xf numFmtId="4" fontId="34" fillId="3" borderId="28" xfId="5" applyNumberFormat="1" applyFont="1" applyFill="1" applyBorder="1" applyAlignment="1">
      <alignment horizontal="center" vertical="center"/>
    </xf>
    <xf numFmtId="4" fontId="34" fillId="3" borderId="70" xfId="5" applyNumberFormat="1" applyFont="1" applyFill="1" applyBorder="1" applyAlignment="1">
      <alignment horizontal="center" vertical="center"/>
    </xf>
    <xf numFmtId="4" fontId="33" fillId="3" borderId="5" xfId="5" applyNumberFormat="1" applyFont="1" applyFill="1" applyBorder="1" applyAlignment="1">
      <alignment horizontal="center" vertical="center"/>
    </xf>
    <xf numFmtId="167" fontId="3" fillId="0" borderId="22" xfId="0" applyNumberFormat="1" applyFont="1" applyBorder="1" applyAlignment="1" applyProtection="1">
      <alignment wrapText="1"/>
      <protection hidden="1"/>
    </xf>
    <xf numFmtId="4" fontId="0" fillId="14" borderId="0" xfId="0" applyNumberFormat="1" applyFill="1"/>
    <xf numFmtId="4" fontId="3" fillId="0" borderId="0" xfId="0" applyNumberFormat="1" applyFont="1"/>
    <xf numFmtId="167" fontId="3" fillId="0" borderId="7" xfId="0" applyNumberFormat="1" applyFont="1" applyBorder="1" applyAlignment="1" applyProtection="1">
      <alignment wrapText="1"/>
      <protection hidden="1"/>
    </xf>
    <xf numFmtId="4" fontId="33" fillId="3" borderId="72" xfId="5" applyNumberFormat="1" applyFont="1" applyFill="1" applyBorder="1" applyAlignment="1">
      <alignment horizontal="center" vertical="center"/>
    </xf>
    <xf numFmtId="4" fontId="34" fillId="3" borderId="73" xfId="5" applyNumberFormat="1" applyFont="1" applyFill="1" applyBorder="1" applyAlignment="1">
      <alignment horizontal="center" vertical="center"/>
    </xf>
    <xf numFmtId="4" fontId="34" fillId="3" borderId="74" xfId="5" applyNumberFormat="1" applyFont="1" applyFill="1" applyBorder="1" applyAlignment="1">
      <alignment horizontal="center" vertical="center"/>
    </xf>
    <xf numFmtId="14" fontId="16" fillId="3" borderId="75" xfId="5" applyNumberFormat="1" applyFill="1" applyBorder="1"/>
    <xf numFmtId="0" fontId="16" fillId="3" borderId="76" xfId="5" applyFill="1" applyBorder="1"/>
    <xf numFmtId="0" fontId="16" fillId="3" borderId="77" xfId="5" applyFill="1" applyBorder="1"/>
    <xf numFmtId="0" fontId="55" fillId="0" borderId="0" xfId="2" applyFont="1" applyAlignment="1" applyProtection="1">
      <alignment horizontal="center" vertical="center" wrapText="1"/>
      <protection hidden="1"/>
    </xf>
    <xf numFmtId="176" fontId="60" fillId="5" borderId="0" xfId="5" applyNumberFormat="1" applyFont="1" applyFill="1" applyAlignment="1" applyProtection="1">
      <alignment horizontal="center" vertical="center"/>
      <protection hidden="1"/>
    </xf>
    <xf numFmtId="0" fontId="53" fillId="0" borderId="0" xfId="2" applyFont="1" applyAlignment="1" applyProtection="1">
      <alignment horizontal="center" vertical="center" wrapText="1"/>
      <protection hidden="1"/>
    </xf>
    <xf numFmtId="4" fontId="67" fillId="5" borderId="0" xfId="5" applyNumberFormat="1" applyFont="1" applyFill="1" applyAlignment="1">
      <alignment vertical="center"/>
    </xf>
    <xf numFmtId="0" fontId="55" fillId="3" borderId="12" xfId="5" applyFont="1" applyFill="1" applyBorder="1" applyAlignment="1" applyProtection="1">
      <alignment horizontal="center" vertical="center"/>
      <protection locked="0"/>
    </xf>
    <xf numFmtId="4" fontId="37" fillId="5" borderId="32" xfId="5" applyNumberFormat="1" applyFont="1" applyFill="1" applyBorder="1" applyAlignment="1">
      <alignment horizontal="center" vertical="center" wrapText="1"/>
    </xf>
    <xf numFmtId="4" fontId="68" fillId="5" borderId="17" xfId="5" applyNumberFormat="1" applyFont="1" applyFill="1" applyBorder="1" applyAlignment="1">
      <alignment horizontal="center" vertical="center"/>
    </xf>
    <xf numFmtId="4" fontId="68" fillId="5" borderId="17" xfId="5" applyNumberFormat="1" applyFont="1" applyFill="1" applyBorder="1" applyAlignment="1">
      <alignment vertical="center"/>
    </xf>
    <xf numFmtId="4" fontId="37" fillId="5" borderId="0" xfId="5" applyNumberFormat="1" applyFont="1" applyFill="1" applyAlignment="1">
      <alignment vertical="center" wrapText="1"/>
    </xf>
    <xf numFmtId="10" fontId="37" fillId="5" borderId="0" xfId="5" applyNumberFormat="1" applyFont="1" applyFill="1" applyAlignment="1">
      <alignment vertical="center" wrapText="1"/>
    </xf>
    <xf numFmtId="4" fontId="37" fillId="5" borderId="24" xfId="5" applyNumberFormat="1" applyFont="1" applyFill="1" applyBorder="1" applyAlignment="1">
      <alignment vertical="center" wrapText="1"/>
    </xf>
    <xf numFmtId="0" fontId="69" fillId="15" borderId="0" xfId="0" applyFont="1" applyFill="1"/>
    <xf numFmtId="0" fontId="69" fillId="15" borderId="0" xfId="0" applyFont="1" applyFill="1" applyAlignment="1">
      <alignment horizontal="center" vertical="center"/>
    </xf>
    <xf numFmtId="0" fontId="70" fillId="15" borderId="0" xfId="0" applyFont="1" applyFill="1" applyAlignment="1">
      <alignment horizontal="center" vertical="center"/>
    </xf>
    <xf numFmtId="0" fontId="70" fillId="15" borderId="0" xfId="0" applyFont="1" applyFill="1"/>
    <xf numFmtId="4" fontId="70" fillId="15" borderId="0" xfId="0" applyNumberFormat="1" applyFont="1" applyFill="1"/>
    <xf numFmtId="4" fontId="69" fillId="15" borderId="0" xfId="0" applyNumberFormat="1" applyFont="1" applyFill="1"/>
    <xf numFmtId="176" fontId="16" fillId="0" borderId="0" xfId="5" applyNumberFormat="1"/>
    <xf numFmtId="4" fontId="16" fillId="0" borderId="0" xfId="5" applyNumberFormat="1"/>
    <xf numFmtId="10" fontId="16" fillId="0" borderId="0" xfId="5" applyNumberFormat="1" applyProtection="1">
      <protection locked="0"/>
    </xf>
    <xf numFmtId="10" fontId="16" fillId="3" borderId="0" xfId="5" applyNumberFormat="1" applyFill="1" applyProtection="1">
      <protection locked="0"/>
    </xf>
    <xf numFmtId="0" fontId="55" fillId="0" borderId="21" xfId="2" applyFont="1" applyBorder="1" applyAlignment="1" applyProtection="1">
      <alignment horizontal="center" vertical="center" wrapText="1"/>
      <protection hidden="1"/>
    </xf>
    <xf numFmtId="10" fontId="16" fillId="0" borderId="0" xfId="5" applyNumberFormat="1"/>
    <xf numFmtId="10" fontId="55" fillId="0" borderId="21" xfId="2" applyNumberFormat="1" applyFont="1" applyBorder="1" applyAlignment="1" applyProtection="1">
      <alignment horizontal="center" vertical="center" wrapText="1"/>
      <protection hidden="1"/>
    </xf>
    <xf numFmtId="3" fontId="69" fillId="15" borderId="0" xfId="0" applyNumberFormat="1" applyFont="1" applyFill="1"/>
    <xf numFmtId="0" fontId="33" fillId="3" borderId="71" xfId="5" applyFont="1" applyFill="1" applyBorder="1" applyAlignment="1">
      <alignment horizontal="center"/>
    </xf>
    <xf numFmtId="0" fontId="33" fillId="3" borderId="6" xfId="5" applyFont="1" applyFill="1" applyBorder="1" applyAlignment="1">
      <alignment horizontal="center"/>
    </xf>
    <xf numFmtId="3" fontId="33" fillId="3" borderId="67" xfId="5" applyNumberFormat="1" applyFont="1" applyFill="1" applyBorder="1" applyAlignment="1">
      <alignment horizontal="center" vertical="center"/>
    </xf>
    <xf numFmtId="3" fontId="33" fillId="3" borderId="27" xfId="5" applyNumberFormat="1" applyFont="1" applyFill="1" applyBorder="1" applyAlignment="1">
      <alignment horizontal="center" vertical="center"/>
    </xf>
    <xf numFmtId="4" fontId="66" fillId="3" borderId="68" xfId="5" applyNumberFormat="1" applyFont="1" applyFill="1" applyBorder="1" applyAlignment="1">
      <alignment horizontal="center" vertical="center"/>
    </xf>
    <xf numFmtId="4" fontId="66" fillId="3" borderId="69" xfId="5" applyNumberFormat="1" applyFont="1" applyFill="1" applyBorder="1" applyAlignment="1">
      <alignment horizontal="center" vertical="center"/>
    </xf>
    <xf numFmtId="4" fontId="66" fillId="3" borderId="1" xfId="5" applyNumberFormat="1" applyFont="1" applyFill="1" applyBorder="1" applyAlignment="1">
      <alignment horizontal="center" vertical="center"/>
    </xf>
    <xf numFmtId="0" fontId="62" fillId="3" borderId="24" xfId="5" applyFont="1" applyFill="1" applyBorder="1" applyAlignment="1">
      <alignment horizontal="right" wrapText="1"/>
    </xf>
    <xf numFmtId="4" fontId="53" fillId="0" borderId="21" xfId="5" applyNumberFormat="1" applyFont="1" applyBorder="1" applyAlignment="1" applyProtection="1">
      <alignment horizontal="center" vertical="center"/>
      <protection hidden="1"/>
    </xf>
    <xf numFmtId="4" fontId="53" fillId="0" borderId="13" xfId="5" applyNumberFormat="1" applyFont="1" applyBorder="1" applyAlignment="1" applyProtection="1">
      <alignment horizontal="center" vertical="center"/>
      <protection hidden="1"/>
    </xf>
    <xf numFmtId="0" fontId="53" fillId="0" borderId="16" xfId="2" applyFont="1" applyBorder="1" applyAlignment="1" applyProtection="1">
      <alignment horizontal="center" vertical="center"/>
      <protection hidden="1"/>
    </xf>
    <xf numFmtId="0" fontId="53" fillId="0" borderId="23" xfId="2" applyFont="1" applyBorder="1" applyAlignment="1" applyProtection="1">
      <alignment horizontal="center" vertical="center"/>
      <protection hidden="1"/>
    </xf>
    <xf numFmtId="0" fontId="53" fillId="0" borderId="17" xfId="2" applyFont="1" applyBorder="1" applyAlignment="1" applyProtection="1">
      <alignment horizontal="center" vertical="center"/>
      <protection hidden="1"/>
    </xf>
    <xf numFmtId="0" fontId="53" fillId="0" borderId="18" xfId="2" applyFont="1" applyBorder="1" applyAlignment="1" applyProtection="1">
      <alignment horizontal="center" vertical="center"/>
      <protection hidden="1"/>
    </xf>
    <xf numFmtId="0" fontId="53" fillId="0" borderId="0" xfId="2" applyFont="1" applyAlignment="1" applyProtection="1">
      <alignment horizontal="center" vertical="center"/>
      <protection hidden="1"/>
    </xf>
    <xf numFmtId="0" fontId="53" fillId="0" borderId="19" xfId="2" applyFont="1" applyBorder="1" applyAlignment="1" applyProtection="1">
      <alignment horizontal="center" vertical="center"/>
      <protection hidden="1"/>
    </xf>
    <xf numFmtId="0" fontId="53" fillId="0" borderId="20" xfId="2" applyFont="1" applyBorder="1" applyAlignment="1" applyProtection="1">
      <alignment horizontal="center" vertical="center"/>
      <protection hidden="1"/>
    </xf>
    <xf numFmtId="0" fontId="53" fillId="0" borderId="31" xfId="2" applyFont="1" applyBorder="1" applyAlignment="1" applyProtection="1">
      <alignment horizontal="center" vertical="center"/>
      <protection hidden="1"/>
    </xf>
    <xf numFmtId="0" fontId="53" fillId="0" borderId="15" xfId="2" applyFont="1" applyBorder="1" applyAlignment="1" applyProtection="1">
      <alignment horizontal="center" vertical="center"/>
      <protection hidden="1"/>
    </xf>
    <xf numFmtId="0" fontId="61" fillId="3" borderId="0" xfId="5" applyFont="1" applyFill="1" applyAlignment="1">
      <alignment horizontal="left" vertical="top" wrapText="1"/>
    </xf>
    <xf numFmtId="0" fontId="52" fillId="0" borderId="16" xfId="2" applyFont="1" applyBorder="1" applyAlignment="1" applyProtection="1">
      <alignment horizontal="center" vertical="center"/>
      <protection hidden="1"/>
    </xf>
    <xf numFmtId="0" fontId="52" fillId="0" borderId="17" xfId="2" applyFont="1" applyBorder="1" applyAlignment="1" applyProtection="1">
      <alignment horizontal="center" vertical="center"/>
      <protection hidden="1"/>
    </xf>
    <xf numFmtId="0" fontId="52" fillId="0" borderId="20" xfId="2" applyFont="1" applyBorder="1" applyAlignment="1" applyProtection="1">
      <alignment horizontal="center" vertical="center"/>
      <protection hidden="1"/>
    </xf>
    <xf numFmtId="0" fontId="52" fillId="0" borderId="15" xfId="2" applyFont="1" applyBorder="1" applyAlignment="1" applyProtection="1">
      <alignment horizontal="center" vertical="center"/>
      <protection hidden="1"/>
    </xf>
    <xf numFmtId="176" fontId="53" fillId="10" borderId="32" xfId="5" applyNumberFormat="1" applyFont="1" applyFill="1" applyBorder="1" applyAlignment="1" applyProtection="1">
      <alignment horizontal="center" vertical="center"/>
      <protection hidden="1"/>
    </xf>
    <xf numFmtId="176" fontId="53" fillId="10" borderId="14" xfId="5" applyNumberFormat="1" applyFont="1" applyFill="1" applyBorder="1" applyAlignment="1" applyProtection="1">
      <alignment horizontal="center" vertical="center"/>
      <protection hidden="1"/>
    </xf>
    <xf numFmtId="4" fontId="59" fillId="5" borderId="0" xfId="5" applyNumberFormat="1" applyFont="1" applyFill="1" applyAlignment="1" applyProtection="1">
      <alignment horizontal="center"/>
      <protection hidden="1"/>
    </xf>
    <xf numFmtId="0" fontId="59" fillId="5" borderId="0" xfId="5" applyFont="1" applyFill="1" applyAlignment="1" applyProtection="1">
      <alignment horizontal="center"/>
      <protection hidden="1"/>
    </xf>
    <xf numFmtId="0" fontId="55" fillId="0" borderId="16" xfId="2" applyFont="1" applyBorder="1" applyAlignment="1" applyProtection="1">
      <alignment horizontal="center" vertical="center"/>
      <protection hidden="1"/>
    </xf>
    <xf numFmtId="0" fontId="55" fillId="0" borderId="17" xfId="2" applyFont="1" applyBorder="1" applyAlignment="1" applyProtection="1">
      <alignment horizontal="center" vertical="center"/>
      <protection hidden="1"/>
    </xf>
    <xf numFmtId="0" fontId="55" fillId="0" borderId="20" xfId="2" applyFont="1" applyBorder="1" applyAlignment="1" applyProtection="1">
      <alignment horizontal="center" vertical="center"/>
      <protection hidden="1"/>
    </xf>
    <xf numFmtId="0" fontId="55" fillId="0" borderId="15" xfId="2" applyFont="1" applyBorder="1" applyAlignment="1" applyProtection="1">
      <alignment horizontal="center" vertical="center"/>
      <protection hidden="1"/>
    </xf>
    <xf numFmtId="0" fontId="53" fillId="0" borderId="16" xfId="2" applyFont="1" applyBorder="1" applyAlignment="1" applyProtection="1">
      <alignment horizontal="center" vertical="center" wrapText="1"/>
      <protection hidden="1"/>
    </xf>
    <xf numFmtId="0" fontId="53" fillId="0" borderId="17" xfId="2" applyFont="1" applyBorder="1" applyAlignment="1" applyProtection="1">
      <alignment horizontal="center" vertical="center" wrapText="1"/>
      <protection hidden="1"/>
    </xf>
    <xf numFmtId="0" fontId="53" fillId="0" borderId="20" xfId="2" applyFont="1" applyBorder="1" applyAlignment="1" applyProtection="1">
      <alignment horizontal="center" vertical="center" wrapText="1"/>
      <protection hidden="1"/>
    </xf>
    <xf numFmtId="0" fontId="53" fillId="0" borderId="15" xfId="2" applyFont="1" applyBorder="1" applyAlignment="1" applyProtection="1">
      <alignment horizontal="center" vertical="center" wrapText="1"/>
      <protection hidden="1"/>
    </xf>
    <xf numFmtId="0" fontId="55" fillId="0" borderId="21" xfId="2" applyFont="1" applyBorder="1" applyAlignment="1" applyProtection="1">
      <alignment horizontal="center" vertical="center"/>
      <protection hidden="1"/>
    </xf>
    <xf numFmtId="0" fontId="55" fillId="0" borderId="24" xfId="2" applyFont="1" applyBorder="1" applyAlignment="1" applyProtection="1">
      <alignment horizontal="center" vertical="center"/>
      <protection hidden="1"/>
    </xf>
    <xf numFmtId="0" fontId="53" fillId="0" borderId="21" xfId="2" applyFont="1" applyBorder="1" applyAlignment="1" applyProtection="1">
      <alignment horizontal="center" vertical="center" wrapText="1"/>
      <protection hidden="1"/>
    </xf>
    <xf numFmtId="0" fontId="53" fillId="0" borderId="13" xfId="2" applyFont="1" applyBorder="1" applyAlignment="1" applyProtection="1">
      <alignment horizontal="center" vertical="center" wrapText="1"/>
      <protection hidden="1"/>
    </xf>
    <xf numFmtId="0" fontId="52" fillId="0" borderId="16" xfId="2" applyFont="1" applyBorder="1" applyAlignment="1" applyProtection="1">
      <alignment horizontal="center" vertical="center" wrapText="1"/>
      <protection hidden="1"/>
    </xf>
    <xf numFmtId="0" fontId="52" fillId="0" borderId="23" xfId="2" applyFont="1" applyBorder="1" applyAlignment="1" applyProtection="1">
      <alignment horizontal="center" vertical="center" wrapText="1"/>
      <protection hidden="1"/>
    </xf>
    <xf numFmtId="0" fontId="52" fillId="0" borderId="17" xfId="2" applyFont="1" applyBorder="1" applyAlignment="1" applyProtection="1">
      <alignment horizontal="center" vertical="center" wrapText="1"/>
      <protection hidden="1"/>
    </xf>
    <xf numFmtId="0" fontId="52" fillId="0" borderId="20" xfId="2" applyFont="1" applyBorder="1" applyAlignment="1" applyProtection="1">
      <alignment horizontal="center" vertical="center" wrapText="1"/>
      <protection hidden="1"/>
    </xf>
    <xf numFmtId="0" fontId="52" fillId="0" borderId="31" xfId="2" applyFont="1" applyBorder="1" applyAlignment="1" applyProtection="1">
      <alignment horizontal="center" vertical="center" wrapText="1"/>
      <protection hidden="1"/>
    </xf>
    <xf numFmtId="0" fontId="52" fillId="0" borderId="15" xfId="2" applyFont="1" applyBorder="1" applyAlignment="1" applyProtection="1">
      <alignment horizontal="center" vertical="center" wrapText="1"/>
      <protection hidden="1"/>
    </xf>
    <xf numFmtId="176" fontId="53" fillId="10" borderId="23" xfId="5" applyNumberFormat="1" applyFont="1" applyFill="1" applyBorder="1" applyAlignment="1" applyProtection="1">
      <alignment horizontal="center" vertical="center"/>
      <protection hidden="1"/>
    </xf>
    <xf numFmtId="176" fontId="53" fillId="10" borderId="17" xfId="5" applyNumberFormat="1" applyFont="1" applyFill="1" applyBorder="1" applyAlignment="1" applyProtection="1">
      <alignment horizontal="center" vertical="center"/>
      <protection hidden="1"/>
    </xf>
    <xf numFmtId="176" fontId="53" fillId="10" borderId="31" xfId="5" applyNumberFormat="1" applyFont="1" applyFill="1" applyBorder="1" applyAlignment="1" applyProtection="1">
      <alignment horizontal="center" vertical="center"/>
      <protection hidden="1"/>
    </xf>
    <xf numFmtId="176" fontId="53" fillId="10" borderId="15" xfId="5" applyNumberFormat="1" applyFont="1" applyFill="1" applyBorder="1" applyAlignment="1" applyProtection="1">
      <alignment horizontal="center" vertical="center"/>
      <protection hidden="1"/>
    </xf>
    <xf numFmtId="0" fontId="55" fillId="0" borderId="13" xfId="2" applyFont="1" applyBorder="1" applyAlignment="1" applyProtection="1">
      <alignment horizontal="center" vertical="center"/>
      <protection hidden="1"/>
    </xf>
    <xf numFmtId="4" fontId="53" fillId="10" borderId="21" xfId="5" applyNumberFormat="1" applyFont="1" applyFill="1" applyBorder="1" applyAlignment="1" applyProtection="1">
      <alignment horizontal="center" vertical="center"/>
      <protection hidden="1"/>
    </xf>
    <xf numFmtId="4" fontId="53" fillId="10" borderId="13" xfId="5" applyNumberFormat="1" applyFont="1" applyFill="1" applyBorder="1" applyAlignment="1" applyProtection="1">
      <alignment horizontal="center" vertical="center"/>
      <protection hidden="1"/>
    </xf>
    <xf numFmtId="4" fontId="59" fillId="12" borderId="0" xfId="5" applyNumberFormat="1" applyFont="1" applyFill="1" applyAlignment="1" applyProtection="1">
      <alignment horizontal="center" vertical="center"/>
      <protection hidden="1"/>
    </xf>
    <xf numFmtId="0" fontId="59" fillId="12" borderId="0" xfId="5" applyFont="1" applyFill="1" applyAlignment="1" applyProtection="1">
      <alignment horizontal="center" vertical="center" wrapText="1"/>
      <protection hidden="1"/>
    </xf>
    <xf numFmtId="0" fontId="55" fillId="0" borderId="21" xfId="2" applyFont="1" applyBorder="1" applyAlignment="1" applyProtection="1">
      <alignment horizontal="center" vertical="center" wrapText="1"/>
      <protection hidden="1"/>
    </xf>
    <xf numFmtId="0" fontId="55" fillId="0" borderId="24" xfId="2" applyFont="1" applyBorder="1" applyAlignment="1" applyProtection="1">
      <alignment horizontal="center" vertical="center" wrapText="1"/>
      <protection hidden="1"/>
    </xf>
    <xf numFmtId="0" fontId="55" fillId="0" borderId="13" xfId="2" applyFont="1" applyBorder="1" applyAlignment="1" applyProtection="1">
      <alignment horizontal="center" vertical="center" wrapText="1"/>
      <protection hidden="1"/>
    </xf>
    <xf numFmtId="176" fontId="60" fillId="5" borderId="21" xfId="5" applyNumberFormat="1" applyFont="1" applyFill="1" applyBorder="1" applyAlignment="1" applyProtection="1">
      <alignment horizontal="center" vertical="center"/>
      <protection hidden="1"/>
    </xf>
    <xf numFmtId="176" fontId="60" fillId="5" borderId="13" xfId="5" applyNumberFormat="1" applyFont="1" applyFill="1" applyBorder="1" applyAlignment="1" applyProtection="1">
      <alignment horizontal="center" vertical="center"/>
      <protection hidden="1"/>
    </xf>
    <xf numFmtId="4" fontId="37" fillId="5" borderId="32" xfId="5" applyNumberFormat="1" applyFont="1" applyFill="1" applyBorder="1" applyAlignment="1">
      <alignment horizontal="center" vertical="center" wrapText="1"/>
    </xf>
    <xf numFmtId="4" fontId="37" fillId="5" borderId="78" xfId="5" applyNumberFormat="1" applyFont="1" applyFill="1" applyBorder="1" applyAlignment="1">
      <alignment horizontal="center" vertical="center" wrapText="1"/>
    </xf>
    <xf numFmtId="4" fontId="37" fillId="5" borderId="14" xfId="5" applyNumberFormat="1" applyFont="1" applyFill="1" applyBorder="1" applyAlignment="1">
      <alignment horizontal="center" vertical="center" wrapText="1"/>
    </xf>
    <xf numFmtId="0" fontId="53" fillId="10" borderId="21" xfId="5" applyFont="1" applyFill="1" applyBorder="1" applyAlignment="1" applyProtection="1">
      <alignment horizontal="center" vertical="center"/>
      <protection locked="0" hidden="1"/>
    </xf>
    <xf numFmtId="0" fontId="53" fillId="10" borderId="13" xfId="5" applyFont="1" applyFill="1" applyBorder="1" applyAlignment="1" applyProtection="1">
      <alignment horizontal="center" vertical="center"/>
      <protection locked="0" hidden="1"/>
    </xf>
    <xf numFmtId="4" fontId="59" fillId="12" borderId="0" xfId="5" applyNumberFormat="1" applyFont="1" applyFill="1" applyAlignment="1" applyProtection="1">
      <alignment horizontal="center" vertical="center" wrapText="1"/>
      <protection hidden="1"/>
    </xf>
    <xf numFmtId="0" fontId="33" fillId="3" borderId="30" xfId="5" applyFont="1" applyFill="1" applyBorder="1" applyAlignment="1" applyProtection="1">
      <alignment horizontal="center"/>
      <protection locked="0"/>
    </xf>
    <xf numFmtId="0" fontId="33" fillId="3" borderId="6" xfId="5" applyFont="1" applyFill="1" applyBorder="1" applyAlignment="1" applyProtection="1">
      <alignment horizontal="center"/>
      <protection locked="0"/>
    </xf>
    <xf numFmtId="4" fontId="33" fillId="3" borderId="5" xfId="5" applyNumberFormat="1" applyFont="1" applyFill="1" applyBorder="1" applyAlignment="1" applyProtection="1">
      <alignment horizontal="center"/>
      <protection locked="0"/>
    </xf>
    <xf numFmtId="4" fontId="33" fillId="3" borderId="6" xfId="5" applyNumberFormat="1" applyFont="1" applyFill="1" applyBorder="1" applyAlignment="1" applyProtection="1">
      <alignment horizontal="center"/>
      <protection locked="0"/>
    </xf>
    <xf numFmtId="4" fontId="34" fillId="3" borderId="5" xfId="5" applyNumberFormat="1" applyFont="1" applyFill="1" applyBorder="1" applyAlignment="1" applyProtection="1">
      <alignment horizontal="center"/>
      <protection locked="0"/>
    </xf>
    <xf numFmtId="4" fontId="34" fillId="3" borderId="48" xfId="5" applyNumberFormat="1" applyFont="1" applyFill="1" applyBorder="1" applyAlignment="1" applyProtection="1">
      <alignment horizontal="center"/>
      <protection locked="0"/>
    </xf>
    <xf numFmtId="173" fontId="33" fillId="3" borderId="5" xfId="5" applyNumberFormat="1" applyFont="1" applyFill="1" applyBorder="1" applyAlignment="1" applyProtection="1">
      <alignment horizontal="center"/>
      <protection locked="0"/>
    </xf>
    <xf numFmtId="173" fontId="33" fillId="3" borderId="6" xfId="5" applyNumberFormat="1" applyFont="1" applyFill="1" applyBorder="1" applyAlignment="1" applyProtection="1">
      <alignment horizontal="center"/>
      <protection locked="0"/>
    </xf>
    <xf numFmtId="173" fontId="34" fillId="3" borderId="5" xfId="5" applyNumberFormat="1" applyFont="1" applyFill="1" applyBorder="1" applyAlignment="1" applyProtection="1">
      <alignment horizontal="center"/>
      <protection locked="0"/>
    </xf>
    <xf numFmtId="173" fontId="34" fillId="3" borderId="48" xfId="5" applyNumberFormat="1" applyFont="1" applyFill="1" applyBorder="1" applyAlignment="1" applyProtection="1">
      <alignment horizontal="center"/>
      <protection locked="0"/>
    </xf>
    <xf numFmtId="0" fontId="28" fillId="3" borderId="21" xfId="2" applyFont="1" applyFill="1" applyBorder="1" applyAlignment="1" applyProtection="1">
      <alignment horizontal="center" vertical="center"/>
      <protection locked="0"/>
    </xf>
    <xf numFmtId="0" fontId="28" fillId="3" borderId="24" xfId="2" applyFont="1" applyFill="1" applyBorder="1" applyAlignment="1" applyProtection="1">
      <alignment horizontal="center" vertical="center"/>
      <protection locked="0"/>
    </xf>
    <xf numFmtId="0" fontId="28" fillId="3" borderId="13" xfId="2" applyFont="1" applyFill="1" applyBorder="1" applyAlignment="1" applyProtection="1">
      <alignment horizontal="center" vertical="center"/>
      <protection locked="0"/>
    </xf>
    <xf numFmtId="171" fontId="30" fillId="3" borderId="21" xfId="5" applyNumberFormat="1" applyFont="1" applyFill="1" applyBorder="1" applyAlignment="1" applyProtection="1">
      <alignment horizontal="center" vertical="center" wrapText="1"/>
      <protection locked="0"/>
    </xf>
    <xf numFmtId="171" fontId="30" fillId="3" borderId="13" xfId="5" applyNumberFormat="1" applyFont="1" applyFill="1" applyBorder="1" applyAlignment="1" applyProtection="1">
      <alignment horizontal="center" vertical="center" wrapText="1"/>
      <protection locked="0"/>
    </xf>
    <xf numFmtId="171" fontId="31" fillId="3" borderId="21" xfId="5" applyNumberFormat="1" applyFont="1" applyFill="1" applyBorder="1" applyAlignment="1" applyProtection="1">
      <alignment horizontal="center" vertical="center" wrapText="1"/>
      <protection locked="0"/>
    </xf>
    <xf numFmtId="171" fontId="31" fillId="3" borderId="13" xfId="5" applyNumberFormat="1" applyFont="1" applyFill="1" applyBorder="1" applyAlignment="1" applyProtection="1">
      <alignment horizontal="center" vertical="center" wrapText="1"/>
      <protection locked="0"/>
    </xf>
    <xf numFmtId="0" fontId="33" fillId="3" borderId="26" xfId="5" applyFont="1" applyFill="1" applyBorder="1" applyAlignment="1" applyProtection="1">
      <alignment horizontal="center"/>
      <protection locked="0"/>
    </xf>
    <xf numFmtId="0" fontId="33" fillId="3" borderId="27" xfId="5" applyFont="1" applyFill="1" applyBorder="1" applyAlignment="1" applyProtection="1">
      <alignment horizontal="center"/>
      <protection locked="0"/>
    </xf>
    <xf numFmtId="173" fontId="33" fillId="3" borderId="28" xfId="5" applyNumberFormat="1" applyFont="1" applyFill="1" applyBorder="1" applyAlignment="1" applyProtection="1">
      <alignment horizontal="center"/>
      <protection locked="0"/>
    </xf>
    <xf numFmtId="173" fontId="33" fillId="3" borderId="27" xfId="5" applyNumberFormat="1" applyFont="1" applyFill="1" applyBorder="1" applyAlignment="1" applyProtection="1">
      <alignment horizontal="center"/>
      <protection locked="0"/>
    </xf>
    <xf numFmtId="173" fontId="34" fillId="3" borderId="28" xfId="5" applyNumberFormat="1" applyFont="1" applyFill="1" applyBorder="1" applyAlignment="1" applyProtection="1">
      <alignment horizontal="center"/>
      <protection locked="0"/>
    </xf>
    <xf numFmtId="173" fontId="34" fillId="3" borderId="29" xfId="5" applyNumberFormat="1" applyFont="1" applyFill="1" applyBorder="1" applyAlignment="1" applyProtection="1">
      <alignment horizontal="center"/>
      <protection locked="0"/>
    </xf>
    <xf numFmtId="0" fontId="73" fillId="5" borderId="24" xfId="5" applyFont="1" applyFill="1" applyBorder="1" applyAlignment="1" applyProtection="1">
      <alignment horizontal="center" vertical="center"/>
      <protection hidden="1"/>
    </xf>
    <xf numFmtId="0" fontId="53" fillId="0" borderId="21" xfId="2" applyFont="1" applyBorder="1" applyAlignment="1" applyProtection="1">
      <alignment horizontal="center" vertical="center"/>
      <protection hidden="1"/>
    </xf>
    <xf numFmtId="0" fontId="53" fillId="0" borderId="24" xfId="2" applyFont="1" applyBorder="1" applyAlignment="1" applyProtection="1">
      <alignment horizontal="center" vertical="center"/>
      <protection hidden="1"/>
    </xf>
    <xf numFmtId="170" fontId="53" fillId="9" borderId="21" xfId="5" applyNumberFormat="1" applyFont="1" applyFill="1" applyBorder="1" applyAlignment="1" applyProtection="1">
      <alignment horizontal="center" vertical="center" wrapText="1"/>
      <protection hidden="1"/>
    </xf>
    <xf numFmtId="170" fontId="53" fillId="9" borderId="13" xfId="5" applyNumberFormat="1" applyFont="1" applyFill="1" applyBorder="1" applyAlignment="1" applyProtection="1">
      <alignment horizontal="center" vertical="center" wrapText="1"/>
      <protection hidden="1"/>
    </xf>
    <xf numFmtId="0" fontId="53" fillId="0" borderId="13" xfId="2" applyFont="1" applyBorder="1" applyAlignment="1" applyProtection="1">
      <alignment horizontal="center" vertical="center"/>
      <protection hidden="1"/>
    </xf>
    <xf numFmtId="0" fontId="27" fillId="3" borderId="21" xfId="2" applyFont="1" applyFill="1" applyBorder="1" applyAlignment="1" applyProtection="1">
      <alignment horizontal="center" vertical="center"/>
      <protection locked="0"/>
    </xf>
    <xf numFmtId="0" fontId="27" fillId="3" borderId="24" xfId="2" applyFont="1" applyFill="1" applyBorder="1" applyAlignment="1" applyProtection="1">
      <alignment horizontal="center" vertical="center"/>
      <protection locked="0"/>
    </xf>
    <xf numFmtId="0" fontId="27" fillId="3" borderId="13" xfId="2" applyFont="1" applyFill="1" applyBorder="1" applyAlignment="1" applyProtection="1">
      <alignment horizontal="center" vertical="center"/>
      <protection locked="0"/>
    </xf>
    <xf numFmtId="4" fontId="34" fillId="3" borderId="28" xfId="5" applyNumberFormat="1" applyFont="1" applyFill="1" applyBorder="1" applyAlignment="1" applyProtection="1">
      <alignment horizontal="center"/>
      <protection locked="0"/>
    </xf>
    <xf numFmtId="4" fontId="34" fillId="3" borderId="29" xfId="5" applyNumberFormat="1" applyFont="1" applyFill="1" applyBorder="1" applyAlignment="1" applyProtection="1">
      <alignment horizontal="center"/>
      <protection locked="0"/>
    </xf>
    <xf numFmtId="4" fontId="53" fillId="10" borderId="21" xfId="5" applyNumberFormat="1" applyFont="1" applyFill="1" applyBorder="1" applyAlignment="1" applyProtection="1">
      <alignment horizontal="center" vertical="center"/>
      <protection locked="0"/>
    </xf>
    <xf numFmtId="4" fontId="53" fillId="10" borderId="13" xfId="5" applyNumberFormat="1" applyFont="1" applyFill="1" applyBorder="1" applyAlignment="1" applyProtection="1">
      <alignment horizontal="center" vertical="center"/>
      <protection locked="0"/>
    </xf>
    <xf numFmtId="4" fontId="33" fillId="3" borderId="28" xfId="5" applyNumberFormat="1" applyFont="1" applyFill="1" applyBorder="1" applyAlignment="1" applyProtection="1">
      <alignment horizontal="center"/>
      <protection locked="0"/>
    </xf>
    <xf numFmtId="4" fontId="33" fillId="3" borderId="27" xfId="5" applyNumberFormat="1" applyFont="1" applyFill="1" applyBorder="1" applyAlignment="1" applyProtection="1">
      <alignment horizontal="center"/>
      <protection locked="0"/>
    </xf>
    <xf numFmtId="4" fontId="53" fillId="5" borderId="21" xfId="5" applyNumberFormat="1" applyFont="1" applyFill="1" applyBorder="1" applyAlignment="1" applyProtection="1">
      <alignment horizontal="center" vertical="center"/>
      <protection locked="0" hidden="1"/>
    </xf>
    <xf numFmtId="4" fontId="53" fillId="5" borderId="13" xfId="5" applyNumberFormat="1" applyFont="1" applyFill="1" applyBorder="1" applyAlignment="1" applyProtection="1">
      <alignment horizontal="center" vertical="center"/>
      <protection locked="0" hidden="1"/>
    </xf>
    <xf numFmtId="10" fontId="53" fillId="10" borderId="21" xfId="5" applyNumberFormat="1" applyFont="1" applyFill="1" applyBorder="1" applyAlignment="1" applyProtection="1">
      <alignment horizontal="center" vertical="center" wrapText="1"/>
      <protection hidden="1"/>
    </xf>
    <xf numFmtId="10" fontId="53" fillId="10" borderId="13" xfId="5" applyNumberFormat="1" applyFont="1" applyFill="1" applyBorder="1" applyAlignment="1" applyProtection="1">
      <alignment horizontal="center" vertical="center" wrapText="1"/>
      <protection hidden="1"/>
    </xf>
    <xf numFmtId="176" fontId="60" fillId="5" borderId="32" xfId="5" applyNumberFormat="1" applyFont="1" applyFill="1" applyBorder="1" applyAlignment="1" applyProtection="1">
      <alignment horizontal="center" vertical="center"/>
      <protection hidden="1"/>
    </xf>
    <xf numFmtId="176" fontId="60" fillId="5" borderId="14" xfId="5" applyNumberFormat="1" applyFont="1" applyFill="1" applyBorder="1" applyAlignment="1" applyProtection="1">
      <alignment horizontal="center" vertical="center"/>
      <protection hidden="1"/>
    </xf>
    <xf numFmtId="0" fontId="43" fillId="3" borderId="41" xfId="5" applyFont="1" applyFill="1" applyBorder="1" applyAlignment="1" applyProtection="1">
      <alignment horizontal="center" vertical="center"/>
      <protection locked="0"/>
    </xf>
    <xf numFmtId="0" fontId="43" fillId="3" borderId="42" xfId="5" applyFont="1" applyFill="1" applyBorder="1" applyAlignment="1" applyProtection="1">
      <alignment horizontal="center" vertical="center"/>
      <protection locked="0"/>
    </xf>
    <xf numFmtId="0" fontId="43" fillId="3" borderId="0" xfId="5" applyFont="1" applyFill="1" applyAlignment="1" applyProtection="1">
      <alignment horizontal="center" vertical="center"/>
      <protection locked="0"/>
    </xf>
    <xf numFmtId="4" fontId="43" fillId="3" borderId="0" xfId="5" applyNumberFormat="1" applyFont="1" applyFill="1" applyAlignment="1" applyProtection="1">
      <alignment horizontal="center" vertical="center"/>
      <protection locked="0"/>
    </xf>
    <xf numFmtId="4" fontId="43" fillId="3" borderId="51" xfId="5" applyNumberFormat="1" applyFont="1" applyFill="1" applyBorder="1" applyAlignment="1" applyProtection="1">
      <alignment horizontal="center" vertical="center"/>
      <protection locked="0"/>
    </xf>
    <xf numFmtId="4" fontId="43" fillId="3" borderId="42" xfId="5" applyNumberFormat="1" applyFont="1" applyFill="1" applyBorder="1" applyAlignment="1" applyProtection="1">
      <alignment horizontal="center" vertical="center"/>
      <protection locked="0"/>
    </xf>
    <xf numFmtId="173" fontId="43" fillId="3" borderId="51" xfId="5" applyNumberFormat="1" applyFont="1" applyFill="1" applyBorder="1" applyAlignment="1" applyProtection="1">
      <alignment horizontal="center" vertical="center"/>
      <protection locked="0"/>
    </xf>
    <xf numFmtId="173" fontId="43" fillId="3" borderId="52" xfId="5" applyNumberFormat="1" applyFont="1" applyFill="1" applyBorder="1" applyAlignment="1" applyProtection="1">
      <alignment horizontal="center" vertical="center"/>
      <protection locked="0"/>
    </xf>
    <xf numFmtId="0" fontId="33" fillId="3" borderId="10" xfId="5" applyFont="1" applyFill="1" applyBorder="1" applyAlignment="1" applyProtection="1">
      <alignment horizontal="center"/>
      <protection locked="0"/>
    </xf>
    <xf numFmtId="173" fontId="33" fillId="3" borderId="10" xfId="5" applyNumberFormat="1" applyFont="1" applyFill="1" applyBorder="1" applyAlignment="1" applyProtection="1">
      <alignment horizontal="center"/>
      <protection locked="0"/>
    </xf>
    <xf numFmtId="173" fontId="34" fillId="3" borderId="10" xfId="5" applyNumberFormat="1" applyFont="1" applyFill="1" applyBorder="1" applyAlignment="1" applyProtection="1">
      <alignment horizontal="center"/>
      <protection locked="0"/>
    </xf>
    <xf numFmtId="4" fontId="34" fillId="5" borderId="0" xfId="5" applyNumberFormat="1" applyFont="1" applyFill="1" applyAlignment="1">
      <alignment horizontal="center"/>
    </xf>
    <xf numFmtId="10" fontId="37" fillId="5" borderId="32" xfId="5" applyNumberFormat="1" applyFont="1" applyFill="1" applyBorder="1" applyAlignment="1">
      <alignment horizontal="center" vertical="center" wrapText="1"/>
    </xf>
    <xf numFmtId="10" fontId="37" fillId="5" borderId="78" xfId="5" applyNumberFormat="1" applyFont="1" applyFill="1" applyBorder="1" applyAlignment="1">
      <alignment horizontal="center" vertical="center" wrapText="1"/>
    </xf>
    <xf numFmtId="10" fontId="37" fillId="5" borderId="14" xfId="5" applyNumberFormat="1" applyFont="1" applyFill="1" applyBorder="1" applyAlignment="1">
      <alignment horizontal="center" vertical="center" wrapText="1"/>
    </xf>
    <xf numFmtId="0" fontId="37" fillId="5" borderId="32" xfId="5" applyFont="1" applyFill="1" applyBorder="1" applyAlignment="1">
      <alignment horizontal="center" vertical="center" wrapText="1"/>
    </xf>
    <xf numFmtId="0" fontId="37" fillId="5" borderId="78" xfId="5" applyFont="1" applyFill="1" applyBorder="1" applyAlignment="1">
      <alignment horizontal="center" vertical="center" wrapText="1"/>
    </xf>
    <xf numFmtId="0" fontId="37" fillId="5" borderId="14" xfId="5" applyFont="1" applyFill="1" applyBorder="1" applyAlignment="1">
      <alignment horizontal="center" vertical="center" wrapText="1"/>
    </xf>
  </cellXfs>
  <cellStyles count="6">
    <cellStyle name="Відсотковий" xfId="1" builtinId="5"/>
    <cellStyle name="Звичайний" xfId="0" builtinId="0"/>
    <cellStyle name="Звичайний 2" xfId="2" xr:uid="{4C315466-C89E-4675-8E18-99BDAE63F1D8}"/>
    <cellStyle name="Звичайний 3" xfId="3" xr:uid="{C571C02F-CEF6-4CED-94AC-6EE1571F554F}"/>
    <cellStyle name="Обычный_Nedootrumani_dohodu" xfId="5" xr:uid="{D7BF08D5-CB88-44F0-A87D-6E2A7405AF77}"/>
    <cellStyle name="Фінансовий" xfId="4" builtinId="3"/>
  </cellStyles>
  <dxfs count="68">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theme="0"/>
      </font>
    </dxf>
    <dxf>
      <font>
        <color auto="1"/>
      </font>
    </dxf>
    <dxf>
      <font>
        <b/>
        <i val="0"/>
        <color auto="1"/>
      </font>
    </dxf>
    <dxf>
      <font>
        <color theme="0"/>
      </font>
      <fill>
        <patternFill>
          <bgColor theme="0"/>
        </patternFill>
      </fill>
    </dxf>
    <dxf>
      <font>
        <color theme="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C0E498"/>
      </font>
    </dxf>
    <dxf>
      <font>
        <color theme="0" tint="-0.24994659260841701"/>
      </font>
    </dxf>
    <dxf>
      <numFmt numFmtId="14" formatCode="0.00%"/>
    </dxf>
    <dxf>
      <font>
        <color theme="0"/>
      </font>
    </dxf>
    <dxf>
      <fill>
        <patternFill>
          <bgColor rgb="FFFFFF00"/>
        </patternFill>
      </fill>
    </dxf>
    <dxf>
      <fill>
        <patternFill>
          <bgColor rgb="FFFFFF00"/>
        </patternFill>
      </fill>
    </dxf>
    <dxf>
      <fill>
        <patternFill>
          <bgColor rgb="FFFFFF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00"/>
        </patternFill>
      </fill>
    </dxf>
    <dxf>
      <fill>
        <patternFill>
          <bgColor rgb="FFFFFF00"/>
        </patternFill>
      </fill>
    </dxf>
    <dxf>
      <font>
        <color theme="0"/>
      </font>
    </dxf>
    <dxf>
      <numFmt numFmtId="169" formatCode="0.000"/>
      <fill>
        <patternFill>
          <bgColor rgb="FFC0E498"/>
        </patternFill>
      </fill>
    </dxf>
    <dxf>
      <numFmt numFmtId="169" formatCode="0.000"/>
      <fill>
        <patternFill>
          <bgColor rgb="FFC0E498"/>
        </patternFill>
      </fill>
    </dxf>
    <dxf>
      <numFmt numFmtId="169" formatCode="0.000"/>
      <fill>
        <patternFill>
          <bgColor rgb="FFC0E498"/>
        </patternFill>
      </fill>
    </dxf>
    <dxf>
      <font>
        <color auto="1"/>
      </font>
      <fill>
        <patternFill>
          <bgColor rgb="FFC0E498"/>
        </patternFill>
      </fill>
    </dxf>
    <dxf>
      <font>
        <color theme="0"/>
      </font>
      <border>
        <left/>
        <right/>
        <bottom/>
        <vertical/>
        <horizontal/>
      </border>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color theme="0"/>
      </font>
      <fill>
        <patternFill patternType="none">
          <bgColor auto="1"/>
        </patternFill>
      </fill>
      <border>
        <left style="thin">
          <color theme="0"/>
        </left>
        <right style="thin">
          <color theme="0"/>
        </right>
        <top style="thin">
          <color theme="0"/>
        </top>
        <bottom style="thin">
          <color theme="0"/>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ill>
        <patternFill>
          <bgColor rgb="FFFFFF99"/>
        </patternFill>
      </fill>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s>
  <tableStyles count="0" defaultTableStyle="TableStyleMedium2" defaultPivotStyle="PivotStyleLight16"/>
  <colors>
    <mruColors>
      <color rgb="FFC0E49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85</xdr:col>
          <xdr:colOff>68580</xdr:colOff>
          <xdr:row>0</xdr:row>
          <xdr:rowOff>60960</xdr:rowOff>
        </xdr:from>
        <xdr:to>
          <xdr:col>86</xdr:col>
          <xdr:colOff>601980</xdr:colOff>
          <xdr:row>2</xdr:row>
          <xdr:rowOff>99060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Розрахувати ануїтетний платіж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65</xdr:col>
          <xdr:colOff>373380</xdr:colOff>
          <xdr:row>2</xdr:row>
          <xdr:rowOff>30480</xdr:rowOff>
        </xdr:to>
        <xdr:sp macro="" textlink="">
          <xdr:nvSpPr>
            <xdr:cNvPr id="8204" name="CommandButton1"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xdr:colOff>
          <xdr:row>0</xdr:row>
          <xdr:rowOff>60960</xdr:rowOff>
        </xdr:from>
        <xdr:to>
          <xdr:col>79</xdr:col>
          <xdr:colOff>99060</xdr:colOff>
          <xdr:row>1</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1552574</xdr:rowOff>
    </xdr:from>
    <xdr:to>
      <xdr:col>13</xdr:col>
      <xdr:colOff>2667000</xdr:colOff>
      <xdr:row>0</xdr:row>
      <xdr:rowOff>1762125</xdr:rowOff>
    </xdr:to>
    <xdr:sp macro="" textlink="">
      <xdr:nvSpPr>
        <xdr:cNvPr id="2" name="Прямоугольник 64">
          <a:extLst>
            <a:ext uri="{FF2B5EF4-FFF2-40B4-BE49-F238E27FC236}">
              <a16:creationId xmlns:a16="http://schemas.microsoft.com/office/drawing/2014/main" id="{BC714DF3-004D-435F-AE87-98BDF5858E61}"/>
            </a:ext>
          </a:extLst>
        </xdr:cNvPr>
        <xdr:cNvSpPr/>
      </xdr:nvSpPr>
      <xdr:spPr>
        <a:xfrm>
          <a:off x="0" y="1552574"/>
          <a:ext cx="10477500" cy="20955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2</xdr:col>
      <xdr:colOff>259977</xdr:colOff>
      <xdr:row>0</xdr:row>
      <xdr:rowOff>412377</xdr:rowOff>
    </xdr:from>
    <xdr:to>
      <xdr:col>7</xdr:col>
      <xdr:colOff>91242</xdr:colOff>
      <xdr:row>0</xdr:row>
      <xdr:rowOff>1193430</xdr:rowOff>
    </xdr:to>
    <xdr:sp macro="" textlink="">
      <xdr:nvSpPr>
        <xdr:cNvPr id="6" name="Прямокутник 5">
          <a:extLst>
            <a:ext uri="{FF2B5EF4-FFF2-40B4-BE49-F238E27FC236}">
              <a16:creationId xmlns:a16="http://schemas.microsoft.com/office/drawing/2014/main" id="{EA760257-CC80-4689-B034-D72208A73C5D}"/>
            </a:ext>
          </a:extLst>
        </xdr:cNvPr>
        <xdr:cNvSpPr/>
      </xdr:nvSpPr>
      <xdr:spPr>
        <a:xfrm>
          <a:off x="519953" y="412377"/>
          <a:ext cx="3721948" cy="781053"/>
        </a:xfrm>
        <a:prstGeom prst="rect">
          <a:avLst/>
        </a:prstGeom>
      </xdr:spPr>
      <xdr:txBody>
        <a:bodyPr wrap="square">
          <a:noAutofit/>
        </a:bodyPr>
        <a:lstStyle>
          <a:defPPr>
            <a:defRPr lang="uk-UA"/>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uk-UA" sz="1800" b="1" i="0" kern="1200">
              <a:solidFill>
                <a:schemeClr val="tx1"/>
              </a:solidFill>
              <a:effectLst/>
              <a:latin typeface="+mn-lt"/>
              <a:ea typeface="+mn-ea"/>
              <a:cs typeface="+mn-cs"/>
            </a:rPr>
            <a:t>ПАРТНЕРСЬКИЙ </a:t>
          </a:r>
          <a:r>
            <a:rPr lang="en-US" sz="1800" b="1" i="0" kern="1200">
              <a:solidFill>
                <a:schemeClr val="tx1"/>
              </a:solidFill>
              <a:effectLst/>
              <a:latin typeface="+mn-lt"/>
              <a:ea typeface="+mn-ea"/>
              <a:cs typeface="+mn-cs"/>
            </a:rPr>
            <a:t>GRACE</a:t>
          </a:r>
        </a:p>
      </xdr:txBody>
    </xdr:sp>
    <xdr:clientData/>
  </xdr:twoCellAnchor>
  <xdr:twoCellAnchor editAs="oneCell">
    <xdr:from>
      <xdr:col>11</xdr:col>
      <xdr:colOff>806824</xdr:colOff>
      <xdr:row>0</xdr:row>
      <xdr:rowOff>224117</xdr:rowOff>
    </xdr:from>
    <xdr:to>
      <xdr:col>13</xdr:col>
      <xdr:colOff>1607148</xdr:colOff>
      <xdr:row>0</xdr:row>
      <xdr:rowOff>1370377</xdr:rowOff>
    </xdr:to>
    <xdr:pic>
      <xdr:nvPicPr>
        <xdr:cNvPr id="9" name="Рисунок 8">
          <a:extLst>
            <a:ext uri="{FF2B5EF4-FFF2-40B4-BE49-F238E27FC236}">
              <a16:creationId xmlns:a16="http://schemas.microsoft.com/office/drawing/2014/main" id="{A51DFD94-06A2-4018-AEB3-4F5C9C2F30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7436" y="224117"/>
          <a:ext cx="4508351" cy="1146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183092</xdr:colOff>
      <xdr:row>20</xdr:row>
      <xdr:rowOff>206828</xdr:rowOff>
    </xdr:from>
    <xdr:to>
      <xdr:col>13</xdr:col>
      <xdr:colOff>1823708</xdr:colOff>
      <xdr:row>22</xdr:row>
      <xdr:rowOff>357602</xdr:rowOff>
    </xdr:to>
    <xdr:sp macro="" textlink="">
      <xdr:nvSpPr>
        <xdr:cNvPr id="15" name="Прямоугольник 64">
          <a:extLst>
            <a:ext uri="{FF2B5EF4-FFF2-40B4-BE49-F238E27FC236}">
              <a16:creationId xmlns:a16="http://schemas.microsoft.com/office/drawing/2014/main" id="{C81C46B0-09E7-421C-91B9-9C95D44036D2}"/>
            </a:ext>
          </a:extLst>
        </xdr:cNvPr>
        <xdr:cNvSpPr/>
      </xdr:nvSpPr>
      <xdr:spPr>
        <a:xfrm>
          <a:off x="8053463" y="6966857"/>
          <a:ext cx="4318502" cy="64063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74084</xdr:colOff>
      <xdr:row>0</xdr:row>
      <xdr:rowOff>1600200</xdr:rowOff>
    </xdr:from>
    <xdr:to>
      <xdr:col>14</xdr:col>
      <xdr:colOff>0</xdr:colOff>
      <xdr:row>0</xdr:row>
      <xdr:rowOff>1794934</xdr:rowOff>
    </xdr:to>
    <xdr:sp macro="" textlink="">
      <xdr:nvSpPr>
        <xdr:cNvPr id="16" name="Прямоугольник 64">
          <a:extLst>
            <a:ext uri="{FF2B5EF4-FFF2-40B4-BE49-F238E27FC236}">
              <a16:creationId xmlns:a16="http://schemas.microsoft.com/office/drawing/2014/main" id="{C164D639-58F4-4862-B882-F6AAC242746E}"/>
            </a:ext>
          </a:extLst>
        </xdr:cNvPr>
        <xdr:cNvSpPr/>
      </xdr:nvSpPr>
      <xdr:spPr>
        <a:xfrm>
          <a:off x="74084" y="1600200"/>
          <a:ext cx="12316036" cy="194734"/>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1</xdr:col>
      <xdr:colOff>9826</xdr:colOff>
      <xdr:row>10</xdr:row>
      <xdr:rowOff>21772</xdr:rowOff>
    </xdr:from>
    <xdr:to>
      <xdr:col>13</xdr:col>
      <xdr:colOff>1839686</xdr:colOff>
      <xdr:row>10</xdr:row>
      <xdr:rowOff>348343</xdr:rowOff>
    </xdr:to>
    <xdr:sp macro="" textlink="">
      <xdr:nvSpPr>
        <xdr:cNvPr id="17" name="Прямоугольник 64">
          <a:extLst>
            <a:ext uri="{FF2B5EF4-FFF2-40B4-BE49-F238E27FC236}">
              <a16:creationId xmlns:a16="http://schemas.microsoft.com/office/drawing/2014/main" id="{32607CE1-4832-45F9-BC2C-E4FA369B425F}"/>
            </a:ext>
          </a:extLst>
        </xdr:cNvPr>
        <xdr:cNvSpPr/>
      </xdr:nvSpPr>
      <xdr:spPr>
        <a:xfrm>
          <a:off x="118683" y="4397829"/>
          <a:ext cx="12269260" cy="32657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mc:AlternateContent xmlns:mc="http://schemas.openxmlformats.org/markup-compatibility/2006">
    <mc:Choice xmlns:a14="http://schemas.microsoft.com/office/drawing/2010/main" Requires="a14">
      <xdr:twoCellAnchor editAs="oneCell">
        <xdr:from>
          <xdr:col>11</xdr:col>
          <xdr:colOff>792480</xdr:colOff>
          <xdr:row>18</xdr:row>
          <xdr:rowOff>403860</xdr:rowOff>
        </xdr:from>
        <xdr:to>
          <xdr:col>16</xdr:col>
          <xdr:colOff>289560</xdr:colOff>
          <xdr:row>20</xdr:row>
          <xdr:rowOff>0</xdr:rowOff>
        </xdr:to>
        <xdr:sp macro="" textlink="">
          <xdr:nvSpPr>
            <xdr:cNvPr id="12293" name="Button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1" i="0" u="none" strike="noStrike" baseline="0">
                  <a:solidFill>
                    <a:srgbClr val="008000"/>
                  </a:solidFill>
                  <a:latin typeface="Arial Cyr"/>
                  <a:cs typeface="Arial Cyr"/>
                </a:rPr>
                <a:t>Очистити графік погашення кредиту</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792480</xdr:colOff>
          <xdr:row>17</xdr:row>
          <xdr:rowOff>228600</xdr:rowOff>
        </xdr:from>
        <xdr:to>
          <xdr:col>16</xdr:col>
          <xdr:colOff>289560</xdr:colOff>
          <xdr:row>19</xdr:row>
          <xdr:rowOff>0</xdr:rowOff>
        </xdr:to>
        <xdr:sp macro="" textlink="">
          <xdr:nvSpPr>
            <xdr:cNvPr id="12294" name="Button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uk-UA" sz="1400" b="1" i="0" u="none" strike="noStrike" baseline="0">
                  <a:solidFill>
                    <a:srgbClr val="008000"/>
                  </a:solidFill>
                  <a:latin typeface="Calibri"/>
                  <a:ea typeface="Calibri"/>
                  <a:cs typeface="Calibri"/>
                </a:rPr>
                <a:t>Очистити дані</a:t>
              </a:r>
            </a:p>
          </xdr:txBody>
        </xdr:sp>
        <xdr:clientData fPrintsWithSheet="0"/>
      </xdr:twoCellAnchor>
    </mc:Choice>
    <mc:Fallback/>
  </mc:AlternateContent>
  <xdr:twoCellAnchor>
    <xdr:from>
      <xdr:col>9</xdr:col>
      <xdr:colOff>148015</xdr:colOff>
      <xdr:row>21</xdr:row>
      <xdr:rowOff>10886</xdr:rowOff>
    </xdr:from>
    <xdr:to>
      <xdr:col>13</xdr:col>
      <xdr:colOff>1839686</xdr:colOff>
      <xdr:row>22</xdr:row>
      <xdr:rowOff>348343</xdr:rowOff>
    </xdr:to>
    <xdr:sp macro="" textlink="">
      <xdr:nvSpPr>
        <xdr:cNvPr id="20" name="TextBox 19">
          <a:extLst>
            <a:ext uri="{FF2B5EF4-FFF2-40B4-BE49-F238E27FC236}">
              <a16:creationId xmlns:a16="http://schemas.microsoft.com/office/drawing/2014/main" id="{49713401-2461-4E41-BEE2-11EDA5BC17CC}"/>
            </a:ext>
          </a:extLst>
        </xdr:cNvPr>
        <xdr:cNvSpPr txBox="1"/>
      </xdr:nvSpPr>
      <xdr:spPr>
        <a:xfrm>
          <a:off x="8018386" y="6988629"/>
          <a:ext cx="4369557" cy="60960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u-RU"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Першочергові витрати на придбання автомобіля</a:t>
          </a:r>
          <a:r>
            <a:rPr kumimoji="0" lang="uk-UA"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a:t>
          </a:r>
        </a:p>
      </xdr:txBody>
    </xdr:sp>
    <xdr:clientData/>
  </xdr:twoCellAnchor>
  <xdr:twoCellAnchor>
    <xdr:from>
      <xdr:col>0</xdr:col>
      <xdr:colOff>50800</xdr:colOff>
      <xdr:row>10</xdr:row>
      <xdr:rowOff>29633</xdr:rowOff>
    </xdr:from>
    <xdr:to>
      <xdr:col>4</xdr:col>
      <xdr:colOff>71688</xdr:colOff>
      <xdr:row>10</xdr:row>
      <xdr:rowOff>368299</xdr:rowOff>
    </xdr:to>
    <xdr:sp macro="" textlink="">
      <xdr:nvSpPr>
        <xdr:cNvPr id="21" name="TextBox 20">
          <a:extLst>
            <a:ext uri="{FF2B5EF4-FFF2-40B4-BE49-F238E27FC236}">
              <a16:creationId xmlns:a16="http://schemas.microsoft.com/office/drawing/2014/main" id="{22F3C071-32B4-4560-86F3-71CB262E5F7F}"/>
            </a:ext>
          </a:extLst>
        </xdr:cNvPr>
        <xdr:cNvSpPr txBox="1"/>
      </xdr:nvSpPr>
      <xdr:spPr>
        <a:xfrm>
          <a:off x="50800" y="4609253"/>
          <a:ext cx="2169728" cy="338666"/>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страхування: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12</xdr:col>
      <xdr:colOff>213360</xdr:colOff>
      <xdr:row>47</xdr:row>
      <xdr:rowOff>137160</xdr:rowOff>
    </xdr:from>
    <xdr:to>
      <xdr:col>12</xdr:col>
      <xdr:colOff>487680</xdr:colOff>
      <xdr:row>51</xdr:row>
      <xdr:rowOff>97972</xdr:rowOff>
    </xdr:to>
    <xdr:pic>
      <xdr:nvPicPr>
        <xdr:cNvPr id="25" name="Рисунок 22" descr="arrow.png">
          <a:extLst>
            <a:ext uri="{FF2B5EF4-FFF2-40B4-BE49-F238E27FC236}">
              <a16:creationId xmlns:a16="http://schemas.microsoft.com/office/drawing/2014/main" id="{32029D24-2A6D-48D9-AAF7-F0125DF9BD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27920" y="12801600"/>
          <a:ext cx="27432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141514</xdr:colOff>
      <xdr:row>18</xdr:row>
      <xdr:rowOff>1089</xdr:rowOff>
    </xdr:from>
    <xdr:to>
      <xdr:col>5</xdr:col>
      <xdr:colOff>388619</xdr:colOff>
      <xdr:row>20</xdr:row>
      <xdr:rowOff>13432</xdr:rowOff>
    </xdr:to>
    <xdr:pic>
      <xdr:nvPicPr>
        <xdr:cNvPr id="26" name="Рисунок 23" descr="arrow.png">
          <a:extLst>
            <a:ext uri="{FF2B5EF4-FFF2-40B4-BE49-F238E27FC236}">
              <a16:creationId xmlns:a16="http://schemas.microsoft.com/office/drawing/2014/main" id="{13BDE164-87AD-47F6-8E25-8A199A394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97085" y="5857603"/>
          <a:ext cx="247105" cy="91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59267</xdr:colOff>
      <xdr:row>0</xdr:row>
      <xdr:rowOff>1533312</xdr:rowOff>
    </xdr:from>
    <xdr:to>
      <xdr:col>4</xdr:col>
      <xdr:colOff>70647</xdr:colOff>
      <xdr:row>1</xdr:row>
      <xdr:rowOff>18130</xdr:rowOff>
    </xdr:to>
    <xdr:sp macro="" textlink="">
      <xdr:nvSpPr>
        <xdr:cNvPr id="27" name="TextBox 26">
          <a:extLst>
            <a:ext uri="{FF2B5EF4-FFF2-40B4-BE49-F238E27FC236}">
              <a16:creationId xmlns:a16="http://schemas.microsoft.com/office/drawing/2014/main" id="{3F1F2B6E-4A02-4EBA-9E4E-157FC71866F9}"/>
            </a:ext>
          </a:extLst>
        </xdr:cNvPr>
        <xdr:cNvSpPr txBox="1"/>
      </xdr:nvSpPr>
      <xdr:spPr>
        <a:xfrm>
          <a:off x="59267" y="1533312"/>
          <a:ext cx="2160220" cy="328858"/>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213360</xdr:colOff>
          <xdr:row>18</xdr:row>
          <xdr:rowOff>68580</xdr:rowOff>
        </xdr:from>
        <xdr:to>
          <xdr:col>11</xdr:col>
          <xdr:colOff>495300</xdr:colOff>
          <xdr:row>20</xdr:row>
          <xdr:rowOff>0</xdr:rowOff>
        </xdr:to>
        <xdr:sp macro="" textlink="">
          <xdr:nvSpPr>
            <xdr:cNvPr id="12303" name="Button 15" hidden="1">
              <a:extLst>
                <a:ext uri="{63B3BB69-23CF-44E3-9099-C40C66FF867C}">
                  <a14:compatExt spid="_x0000_s12303"/>
                </a:ext>
                <a:ext uri="{FF2B5EF4-FFF2-40B4-BE49-F238E27FC236}">
                  <a16:creationId xmlns:a16="http://schemas.microsoft.com/office/drawing/2014/main" id="{00000000-0008-0000-0400-00000F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uk-UA" sz="1200" b="1" i="0" u="none" strike="noStrike" baseline="0">
                  <a:solidFill>
                    <a:srgbClr val="008000"/>
                  </a:solidFill>
                  <a:latin typeface="Calibri"/>
                  <a:ea typeface="Calibri"/>
                  <a:cs typeface="Calibri"/>
                </a:rPr>
                <a:t>Розрахувати графік погашення кредиту</a:t>
              </a:r>
            </a:p>
          </xdr:txBody>
        </xdr:sp>
        <xdr:clientData fPrintsWithSheet="0"/>
      </xdr:twoCellAnchor>
    </mc:Choice>
    <mc:Fallback/>
  </mc:AlternateContent>
  <xdr:twoCellAnchor>
    <xdr:from>
      <xdr:col>1</xdr:col>
      <xdr:colOff>10886</xdr:colOff>
      <xdr:row>0</xdr:row>
      <xdr:rowOff>1273628</xdr:rowOff>
    </xdr:from>
    <xdr:to>
      <xdr:col>13</xdr:col>
      <xdr:colOff>1839686</xdr:colOff>
      <xdr:row>0</xdr:row>
      <xdr:rowOff>1556657</xdr:rowOff>
    </xdr:to>
    <xdr:sp macro="" textlink="">
      <xdr:nvSpPr>
        <xdr:cNvPr id="2" name="Прямоугольник 64">
          <a:extLst>
            <a:ext uri="{FF2B5EF4-FFF2-40B4-BE49-F238E27FC236}">
              <a16:creationId xmlns:a16="http://schemas.microsoft.com/office/drawing/2014/main" id="{A6B0284D-3E05-4993-9E5B-5A2473708EA3}"/>
            </a:ext>
          </a:extLst>
        </xdr:cNvPr>
        <xdr:cNvSpPr/>
      </xdr:nvSpPr>
      <xdr:spPr>
        <a:xfrm>
          <a:off x="119743" y="1273628"/>
          <a:ext cx="12268200" cy="283029"/>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65314</xdr:colOff>
      <xdr:row>0</xdr:row>
      <xdr:rowOff>1262742</xdr:rowOff>
    </xdr:from>
    <xdr:to>
      <xdr:col>4</xdr:col>
      <xdr:colOff>67623</xdr:colOff>
      <xdr:row>1</xdr:row>
      <xdr:rowOff>533146</xdr:rowOff>
    </xdr:to>
    <xdr:sp macro="" textlink="">
      <xdr:nvSpPr>
        <xdr:cNvPr id="3" name="TextBox 2">
          <a:extLst>
            <a:ext uri="{FF2B5EF4-FFF2-40B4-BE49-F238E27FC236}">
              <a16:creationId xmlns:a16="http://schemas.microsoft.com/office/drawing/2014/main" id="{ACE0E411-AD07-4995-8306-B5A43EDE6BE8}"/>
            </a:ext>
          </a:extLst>
        </xdr:cNvPr>
        <xdr:cNvSpPr txBox="1"/>
      </xdr:nvSpPr>
      <xdr:spPr>
        <a:xfrm>
          <a:off x="65314" y="1262742"/>
          <a:ext cx="2157680" cy="848833"/>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0</xdr:col>
      <xdr:colOff>593271</xdr:colOff>
      <xdr:row>0</xdr:row>
      <xdr:rowOff>0</xdr:rowOff>
    </xdr:from>
    <xdr:to>
      <xdr:col>20</xdr:col>
      <xdr:colOff>200819</xdr:colOff>
      <xdr:row>0</xdr:row>
      <xdr:rowOff>179614</xdr:rowOff>
    </xdr:to>
    <xdr:pic>
      <xdr:nvPicPr>
        <xdr:cNvPr id="4" name="Picture 33">
          <a:extLst>
            <a:ext uri="{FF2B5EF4-FFF2-40B4-BE49-F238E27FC236}">
              <a16:creationId xmlns:a16="http://schemas.microsoft.com/office/drawing/2014/main" id="{0C73F929-3160-4B6E-AC92-BA9F117171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31323" b="35297"/>
        <a:stretch>
          <a:fillRect/>
        </a:stretch>
      </xdr:blipFill>
      <xdr:spPr bwMode="auto">
        <a:xfrm>
          <a:off x="593271" y="0"/>
          <a:ext cx="12341679"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838200</xdr:colOff>
      <xdr:row>0</xdr:row>
      <xdr:rowOff>0</xdr:rowOff>
    </xdr:from>
    <xdr:to>
      <xdr:col>16</xdr:col>
      <xdr:colOff>335439</xdr:colOff>
      <xdr:row>1</xdr:row>
      <xdr:rowOff>2613</xdr:rowOff>
    </xdr:to>
    <xdr:pic>
      <xdr:nvPicPr>
        <xdr:cNvPr id="8" name="Picture 17">
          <a:extLst>
            <a:ext uri="{FF2B5EF4-FFF2-40B4-BE49-F238E27FC236}">
              <a16:creationId xmlns:a16="http://schemas.microsoft.com/office/drawing/2014/main" id="{FE0877A5-69EA-437B-ABBF-BDE8A00F995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29475" y="0"/>
          <a:ext cx="5238750" cy="1258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687368</xdr:colOff>
      <xdr:row>0</xdr:row>
      <xdr:rowOff>367392</xdr:rowOff>
    </xdr:from>
    <xdr:to>
      <xdr:col>12</xdr:col>
      <xdr:colOff>374447</xdr:colOff>
      <xdr:row>1</xdr:row>
      <xdr:rowOff>4444</xdr:rowOff>
    </xdr:to>
    <xdr:pic>
      <xdr:nvPicPr>
        <xdr:cNvPr id="10" name="Picture 2">
          <a:extLst>
            <a:ext uri="{FF2B5EF4-FFF2-40B4-BE49-F238E27FC236}">
              <a16:creationId xmlns:a16="http://schemas.microsoft.com/office/drawing/2014/main" id="{25F2BF29-C893-4F64-BCBE-FFE5DD3CC84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78643" y="367392"/>
          <a:ext cx="2831440" cy="991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259080</xdr:colOff>
          <xdr:row>1</xdr:row>
          <xdr:rowOff>60960</xdr:rowOff>
        </xdr:from>
        <xdr:to>
          <xdr:col>59</xdr:col>
          <xdr:colOff>99060</xdr:colOff>
          <xdr:row>3</xdr:row>
          <xdr:rowOff>106680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137160</xdr:rowOff>
        </xdr:from>
        <xdr:to>
          <xdr:col>65</xdr:col>
          <xdr:colOff>266700</xdr:colOff>
          <xdr:row>2</xdr:row>
          <xdr:rowOff>175260</xdr:rowOff>
        </xdr:to>
        <xdr:sp macro="" textlink="">
          <xdr:nvSpPr>
            <xdr:cNvPr id="11275" name="CommandButton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7.emf"/><Relationship Id="rId4" Type="http://schemas.openxmlformats.org/officeDocument/2006/relationships/control" Target="../activeX/activeX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Аркуш1"/>
  <dimension ref="A1:I174"/>
  <sheetViews>
    <sheetView topLeftCell="BM1" zoomScale="80" zoomScaleNormal="80" workbookViewId="0">
      <selection activeCell="BV14" sqref="BV14"/>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64" width="0" style="160" hidden="1" customWidth="1"/>
    <col min="65" max="16384" width="8.6640625" style="160"/>
  </cols>
  <sheetData>
    <row r="1" spans="2:8" x14ac:dyDescent="0.3">
      <c r="B1" s="158" t="s">
        <v>346</v>
      </c>
      <c r="C1" s="159" t="s">
        <v>399</v>
      </c>
      <c r="D1" s="159"/>
      <c r="G1" s="160" t="s">
        <v>379</v>
      </c>
    </row>
    <row r="2" spans="2:8" x14ac:dyDescent="0.3">
      <c r="B2" s="161"/>
      <c r="C2" s="162"/>
      <c r="D2" s="162"/>
    </row>
    <row r="3" spans="2:8" x14ac:dyDescent="0.3">
      <c r="B3" s="160" t="s">
        <v>368</v>
      </c>
      <c r="C3" s="163">
        <v>333333.33333333337</v>
      </c>
      <c r="D3" s="163"/>
      <c r="G3" s="160" t="s">
        <v>7</v>
      </c>
      <c r="H3" s="160" t="s">
        <v>400</v>
      </c>
    </row>
    <row r="4" spans="2:8" x14ac:dyDescent="0.3">
      <c r="B4" s="160" t="s">
        <v>369</v>
      </c>
      <c r="C4" s="163">
        <f>C3*E4</f>
        <v>233333.33333333334</v>
      </c>
      <c r="D4" s="163">
        <f>C4/C3</f>
        <v>0.7</v>
      </c>
      <c r="E4" s="160">
        <v>0.7</v>
      </c>
      <c r="G4" s="160" t="s">
        <v>342</v>
      </c>
    </row>
    <row r="5" spans="2:8" x14ac:dyDescent="0.3">
      <c r="B5" s="160" t="s">
        <v>370</v>
      </c>
      <c r="C5" s="163">
        <v>5000000</v>
      </c>
      <c r="D5" s="163"/>
      <c r="G5" s="160" t="s">
        <v>340</v>
      </c>
      <c r="H5" s="160">
        <v>60</v>
      </c>
    </row>
    <row r="6" spans="2:8" x14ac:dyDescent="0.3">
      <c r="C6" s="163"/>
      <c r="D6" s="163"/>
      <c r="G6" s="160" t="s">
        <v>339</v>
      </c>
      <c r="H6" s="160" t="str">
        <f>Ануїтетна_графік_Авто!E2</f>
        <v/>
      </c>
    </row>
    <row r="7" spans="2:8" x14ac:dyDescent="0.3">
      <c r="C7" s="163"/>
      <c r="D7" s="163">
        <f>D6*1.7</f>
        <v>0</v>
      </c>
      <c r="E7" s="160">
        <f>D6+D5</f>
        <v>0</v>
      </c>
      <c r="G7" s="160" t="s">
        <v>391</v>
      </c>
    </row>
    <row r="8" spans="2:8" x14ac:dyDescent="0.3">
      <c r="B8" s="160" t="s">
        <v>371</v>
      </c>
      <c r="C8" s="163">
        <f>C3-C4</f>
        <v>100000.00000000003</v>
      </c>
      <c r="D8" s="163"/>
      <c r="G8" s="160" t="s">
        <v>378</v>
      </c>
      <c r="H8" s="160" t="s">
        <v>401</v>
      </c>
    </row>
    <row r="9" spans="2:8" x14ac:dyDescent="0.3">
      <c r="B9" s="160" t="s">
        <v>387</v>
      </c>
      <c r="C9" s="163" t="s">
        <v>398</v>
      </c>
      <c r="D9" s="163"/>
    </row>
    <row r="10" spans="2:8" x14ac:dyDescent="0.3">
      <c r="B10" s="160" t="s">
        <v>386</v>
      </c>
      <c r="C10" s="163" t="s">
        <v>398</v>
      </c>
      <c r="D10" s="163">
        <v>3960.0000000000005</v>
      </c>
      <c r="H10" s="160">
        <f>H4*C3</f>
        <v>0</v>
      </c>
    </row>
    <row r="11" spans="2:8" x14ac:dyDescent="0.3">
      <c r="B11" s="160" t="s">
        <v>388</v>
      </c>
      <c r="C11" s="160" t="s">
        <v>398</v>
      </c>
      <c r="H11" s="160">
        <f>H4*C8</f>
        <v>0</v>
      </c>
    </row>
    <row r="12" spans="2:8" x14ac:dyDescent="0.3">
      <c r="B12" s="161" t="s">
        <v>389</v>
      </c>
      <c r="C12" s="161" t="s">
        <v>398</v>
      </c>
      <c r="E12" s="160">
        <f>800000/100</f>
        <v>8000</v>
      </c>
    </row>
    <row r="13" spans="2:8" x14ac:dyDescent="0.3">
      <c r="B13" s="160" t="s">
        <v>392</v>
      </c>
      <c r="C13" s="163">
        <f>IF(C8=0,C3-C4+SUMIF(C10:C12,"Так",D10:D12),C8+SUMIF(C10:C12,"Так",D10:D12))</f>
        <v>100000.00000000003</v>
      </c>
      <c r="E13" s="160">
        <f>E12*70</f>
        <v>560000</v>
      </c>
    </row>
    <row r="14" spans="2:8" x14ac:dyDescent="0.3">
      <c r="C14" s="163"/>
    </row>
    <row r="15" spans="2:8" x14ac:dyDescent="0.3">
      <c r="C15" s="163"/>
    </row>
    <row r="16" spans="2:8" x14ac:dyDescent="0.3">
      <c r="C16" s="163"/>
      <c r="D16" s="160">
        <f>100000/70%</f>
        <v>142857.14285714287</v>
      </c>
    </row>
    <row r="17" spans="2:9" x14ac:dyDescent="0.3">
      <c r="C17" s="163"/>
      <c r="H17" s="160" t="s">
        <v>104</v>
      </c>
      <c r="I17" s="160" t="s">
        <v>358</v>
      </c>
    </row>
    <row r="18" spans="2:9" x14ac:dyDescent="0.3">
      <c r="C18" s="160" t="s">
        <v>104</v>
      </c>
      <c r="G18" s="160" t="s">
        <v>8</v>
      </c>
      <c r="H18" s="160" t="s">
        <v>402</v>
      </c>
    </row>
    <row r="19" spans="2:9" x14ac:dyDescent="0.3">
      <c r="B19" s="160" t="s">
        <v>306</v>
      </c>
      <c r="C19" s="160">
        <v>100</v>
      </c>
      <c r="G19" s="160" t="s">
        <v>9</v>
      </c>
      <c r="H19" s="160">
        <v>0</v>
      </c>
    </row>
    <row r="20" spans="2:9" x14ac:dyDescent="0.3">
      <c r="B20" s="160" t="s">
        <v>10</v>
      </c>
      <c r="C20" s="160" t="s">
        <v>19</v>
      </c>
      <c r="G20" s="160" t="s">
        <v>96</v>
      </c>
      <c r="H20" s="160">
        <v>35065</v>
      </c>
    </row>
    <row r="21" spans="2:9" x14ac:dyDescent="0.3">
      <c r="B21" s="160" t="s">
        <v>11</v>
      </c>
      <c r="C21" s="160" t="s">
        <v>19</v>
      </c>
    </row>
    <row r="22" spans="2:9" x14ac:dyDescent="0.3">
      <c r="B22" s="160" t="s">
        <v>12</v>
      </c>
      <c r="G22" s="160" t="s">
        <v>211</v>
      </c>
    </row>
    <row r="23" spans="2:9" x14ac:dyDescent="0.3">
      <c r="F23" s="160" t="s">
        <v>185</v>
      </c>
      <c r="G23" s="160" t="s">
        <v>201</v>
      </c>
    </row>
    <row r="24" spans="2:9" x14ac:dyDescent="0.3">
      <c r="B24" s="160" t="s">
        <v>200</v>
      </c>
      <c r="C24" s="160">
        <v>24</v>
      </c>
      <c r="G24" s="160" t="s">
        <v>202</v>
      </c>
    </row>
    <row r="25" spans="2:9" x14ac:dyDescent="0.3">
      <c r="B25" s="160" t="s">
        <v>206</v>
      </c>
      <c r="C25" s="160">
        <v>0</v>
      </c>
      <c r="G25" s="160" t="s">
        <v>203</v>
      </c>
    </row>
    <row r="26" spans="2:9" x14ac:dyDescent="0.3">
      <c r="G26" s="160" t="s">
        <v>204</v>
      </c>
    </row>
    <row r="27" spans="2:9" x14ac:dyDescent="0.3">
      <c r="G27" s="160" t="s">
        <v>205</v>
      </c>
    </row>
    <row r="29" spans="2:9" x14ac:dyDescent="0.3">
      <c r="B29" s="160" t="s">
        <v>360</v>
      </c>
      <c r="C29" s="160">
        <v>0</v>
      </c>
    </row>
    <row r="30" spans="2:9" x14ac:dyDescent="0.3">
      <c r="B30" s="160" t="s">
        <v>362</v>
      </c>
      <c r="C30" s="160">
        <v>0</v>
      </c>
    </row>
    <row r="32" spans="2:9" x14ac:dyDescent="0.3">
      <c r="C32" s="160" t="s">
        <v>104</v>
      </c>
      <c r="D32" s="160" t="s">
        <v>105</v>
      </c>
      <c r="E32" s="160" t="s">
        <v>358</v>
      </c>
    </row>
    <row r="33" spans="1:3" x14ac:dyDescent="0.3">
      <c r="A33" s="160" t="s">
        <v>97</v>
      </c>
      <c r="B33" s="160" t="s">
        <v>385</v>
      </c>
    </row>
    <row r="34" spans="1:3" x14ac:dyDescent="0.3">
      <c r="B34" s="160" t="s">
        <v>300</v>
      </c>
      <c r="C34" s="160">
        <v>2000000</v>
      </c>
    </row>
    <row r="35" spans="1:3" x14ac:dyDescent="0.3">
      <c r="B35" s="160" t="s">
        <v>3</v>
      </c>
    </row>
    <row r="36" spans="1:3" x14ac:dyDescent="0.3">
      <c r="B36" s="160" t="s">
        <v>4</v>
      </c>
    </row>
    <row r="38" spans="1:3" x14ac:dyDescent="0.3">
      <c r="A38" s="160" t="s">
        <v>98</v>
      </c>
      <c r="B38" s="160" t="s">
        <v>5</v>
      </c>
    </row>
    <row r="40" spans="1:3" x14ac:dyDescent="0.3">
      <c r="A40" s="160" t="s">
        <v>99</v>
      </c>
      <c r="B40" s="160" t="s">
        <v>0</v>
      </c>
    </row>
    <row r="41" spans="1:3" x14ac:dyDescent="0.3">
      <c r="B41" s="160" t="s">
        <v>381</v>
      </c>
    </row>
    <row r="42" spans="1:3" x14ac:dyDescent="0.3">
      <c r="B42" s="160" t="s">
        <v>382</v>
      </c>
    </row>
    <row r="43" spans="1:3" x14ac:dyDescent="0.3">
      <c r="B43" s="160" t="s">
        <v>383</v>
      </c>
    </row>
    <row r="45" spans="1:3" x14ac:dyDescent="0.3">
      <c r="A45" s="160" t="s">
        <v>100</v>
      </c>
      <c r="B45" s="160" t="s">
        <v>380</v>
      </c>
    </row>
    <row r="46" spans="1:3" x14ac:dyDescent="0.3">
      <c r="B46" s="160" t="s">
        <v>6</v>
      </c>
    </row>
    <row r="48" spans="1:3" x14ac:dyDescent="0.3">
      <c r="A48" s="160" t="s">
        <v>101</v>
      </c>
      <c r="B48" s="160" t="s">
        <v>301</v>
      </c>
    </row>
    <row r="49" spans="1:3" x14ac:dyDescent="0.3">
      <c r="B49" s="160" t="s">
        <v>302</v>
      </c>
    </row>
    <row r="51" spans="1:3" x14ac:dyDescent="0.3">
      <c r="A51" s="160" t="s">
        <v>102</v>
      </c>
      <c r="B51" s="160" t="s">
        <v>384</v>
      </c>
    </row>
    <row r="52" spans="1:3" x14ac:dyDescent="0.3">
      <c r="B52" s="160" t="s">
        <v>303</v>
      </c>
    </row>
    <row r="54" spans="1:3" x14ac:dyDescent="0.3">
      <c r="A54" s="160" t="s">
        <v>103</v>
      </c>
      <c r="B54" s="160" t="s">
        <v>1</v>
      </c>
      <c r="C54" s="160">
        <v>0</v>
      </c>
    </row>
    <row r="55" spans="1:3" x14ac:dyDescent="0.3">
      <c r="B55" s="160" t="s">
        <v>2</v>
      </c>
      <c r="C55" s="160">
        <v>0</v>
      </c>
    </row>
    <row r="58" spans="1:3" x14ac:dyDescent="0.3">
      <c r="A58" s="160" t="s">
        <v>173</v>
      </c>
      <c r="B58" s="160" t="s">
        <v>171</v>
      </c>
    </row>
    <row r="59" spans="1:3" x14ac:dyDescent="0.3">
      <c r="B59" s="160" t="s">
        <v>172</v>
      </c>
    </row>
    <row r="60" spans="1:3" x14ac:dyDescent="0.3">
      <c r="B60" s="160" t="str">
        <f>IF(C58="II","Cума доходу, отриманого в поточному році за один квартал",
IF(C58="III","Cума доходу, отриманого в поточному році за два квартали",
IF(C58="IV","Cума доходу, отриманого в поточному році за три квартали","Річна сума доходу, отримана позичальником від п.д. за рік, що передує звітному")))</f>
        <v>Річна сума доходу, отримана позичальником від п.д. за рік, що передує звітному</v>
      </c>
    </row>
    <row r="63" spans="1:3" x14ac:dyDescent="0.3">
      <c r="A63" s="160" t="s">
        <v>106</v>
      </c>
      <c r="B63" s="160" t="s">
        <v>107</v>
      </c>
    </row>
    <row r="64" spans="1:3" x14ac:dyDescent="0.3">
      <c r="B64" s="160" t="s">
        <v>108</v>
      </c>
    </row>
    <row r="65" spans="1:9" x14ac:dyDescent="0.3">
      <c r="B65" s="160" t="s">
        <v>109</v>
      </c>
    </row>
    <row r="66" spans="1:9" x14ac:dyDescent="0.3">
      <c r="B66" s="160" t="s">
        <v>110</v>
      </c>
      <c r="C66" s="160">
        <v>0</v>
      </c>
    </row>
    <row r="74" spans="1:9" x14ac:dyDescent="0.3">
      <c r="H74" s="160" t="s">
        <v>345</v>
      </c>
      <c r="I74" s="160" t="s">
        <v>351</v>
      </c>
    </row>
    <row r="75" spans="1:9" x14ac:dyDescent="0.3">
      <c r="B75" s="160" t="s">
        <v>164</v>
      </c>
      <c r="G75" s="160" t="s">
        <v>347</v>
      </c>
      <c r="H75" s="160" t="e">
        <f>IF(OR(H6&lt;&gt;"",H5&lt;&gt;""),(Ануїтетна_графік_Іпотека!B16/1200*(1+Ануїтетна_графік_Іпотека!B16/1200)^H5)/(((1+Ануїтетна_графік_Іпотека!B16/1200)^H5)-1)+H4/100,0)</f>
        <v>#VALUE!</v>
      </c>
      <c r="I75" s="160" t="e">
        <f>IF(OR(H6&lt;&gt;"",H5&lt;&gt;""),1/H5+Ануїтетна_графік_Іпотека!B16/100*31/360+H4/100,0)</f>
        <v>#VALUE!</v>
      </c>
    </row>
    <row r="76" spans="1:9" x14ac:dyDescent="0.3">
      <c r="B76" s="160" t="s">
        <v>135</v>
      </c>
      <c r="C76" s="160" t="e">
        <f>MAX(H75:H78)</f>
        <v>#VALUE!</v>
      </c>
      <c r="G76" s="160" t="s">
        <v>348</v>
      </c>
      <c r="H76" s="160">
        <f>IFERROR(IF(AND(H6&lt;&gt;"",H5&lt;&gt;"",H7&lt;&gt;"",I6&lt;&gt;""),(Ануїтетна_графік_Іпотека!C16/1200*(1+Ануїтетна_графік_Іпотека!C16/1200)^(H5-H7))/(((1+Ануїтетна_графік_Іпотека!C16/1200)^(H5-H7))-1)+H4/100,0),0)</f>
        <v>0</v>
      </c>
      <c r="I76" s="160">
        <f>IF(AND(H6&lt;&gt;"",H5&lt;&gt;"",I6&lt;&gt;"",H7&lt;&gt;""),1/(H5-H7)+Ануїтетна_графік_Іпотека!C16/100*31/360+H4/100,0)</f>
        <v>0</v>
      </c>
    </row>
    <row r="77" spans="1:9" x14ac:dyDescent="0.3">
      <c r="B77" s="160" t="s">
        <v>136</v>
      </c>
      <c r="C77" s="160" t="e">
        <f>MAX(I75:I78)</f>
        <v>#VALUE!</v>
      </c>
      <c r="G77" s="160" t="s">
        <v>349</v>
      </c>
      <c r="H77" s="160">
        <f>IFERROR(IF(AND(H6&lt;&gt;"",H5&lt;&gt;"",H7&lt;&gt;"",J6&lt;&gt;""),(Ануїтетна_графік_Іпотека!D16/1200*(1+Ануїтетна_графік_Іпотека!D16/1200)^(H5-H7-I7))/(((1+Ануїтетна_графік_Іпотека!D16/1200)^(H5-H7-I7))-1)+H4/100,0),0)</f>
        <v>0</v>
      </c>
      <c r="I77" s="160">
        <f>IF(AND(H6&lt;&gt;"",H5&lt;&gt;"",J6&lt;&gt;"",I7&lt;&gt;""),1/(H5-H7-I7)+Ануїтетна_графік_Іпотека!D16/100*31/360+H4/100,0)</f>
        <v>0</v>
      </c>
    </row>
    <row r="78" spans="1:9" x14ac:dyDescent="0.3">
      <c r="B78" s="160" t="s">
        <v>134</v>
      </c>
      <c r="C78" s="160" t="e">
        <f>IF(H3="ануїтет",C76,C77)</f>
        <v>#VALUE!</v>
      </c>
      <c r="G78" s="160" t="s">
        <v>350</v>
      </c>
      <c r="H78" s="160">
        <f>IFERROR(IF(AND(H6&lt;&gt;"",H5&lt;&gt;"",J7&lt;&gt;"",K6&lt;&gt;""),(Ануїтетна_графік_Іпотека!E16/1200*(1+Ануїтетна_графік_Іпотека!E16/1200)^(H5-H7-I7-J7))/(((1+Ануїтетна_графік_Іпотека!E16/1200)^(H5-H7-I7-J7))-1)+H4/100,0),0)</f>
        <v>0</v>
      </c>
      <c r="I78" s="160">
        <f>IF(AND(H6&lt;&gt;"",H5&lt;&gt;"",K6&lt;&gt;"",J7&lt;&gt;""),1/(H5-H7-I7-J7)+Ануїтетна_графік_Іпотека!E16/100*31/360+H4/100,0)</f>
        <v>0</v>
      </c>
    </row>
    <row r="80" spans="1:9" x14ac:dyDescent="0.3">
      <c r="A80" s="160" t="s">
        <v>111</v>
      </c>
      <c r="B80" s="160" t="s">
        <v>112</v>
      </c>
      <c r="C80" s="160">
        <f>$H$91</f>
        <v>4000000</v>
      </c>
      <c r="G80" s="160" t="s">
        <v>162</v>
      </c>
    </row>
    <row r="81" spans="1:9" x14ac:dyDescent="0.3">
      <c r="B81" s="160" t="s">
        <v>113</v>
      </c>
      <c r="C81" s="160">
        <f>C29+C30</f>
        <v>0</v>
      </c>
    </row>
    <row r="82" spans="1:9" x14ac:dyDescent="0.3">
      <c r="B82" s="160" t="s">
        <v>111</v>
      </c>
      <c r="C82" s="160">
        <f>MAX(C80-C81,0)</f>
        <v>4000000</v>
      </c>
      <c r="G82" s="160" t="s">
        <v>130</v>
      </c>
      <c r="H82" s="160">
        <f>IF(AND(C1="Автокредит",C3&lt;=1500000),30,IF(AND(C1="Автокредит",C3&gt;1500000,C3&lt;=2500000),40,IF(AND(C1="Автокредит",C3&gt;2500000),50,IF(AND(C1="Іпотечний кредит",C3&lt;=2500000),30,IF(AND(C1="Іпотечний кредит",C3&gt;2500000,C3&lt;=3000000),40,IF(AND(C1="Іпотечний кредит",C3&gt;3000000),50,0))))))</f>
        <v>30</v>
      </c>
      <c r="I82" s="160" t="s">
        <v>397</v>
      </c>
    </row>
    <row r="83" spans="1:9" x14ac:dyDescent="0.3">
      <c r="G83" s="160" t="s">
        <v>133</v>
      </c>
      <c r="H83" s="160">
        <v>0.65</v>
      </c>
    </row>
    <row r="84" spans="1:9" x14ac:dyDescent="0.3">
      <c r="A84" s="160" t="s">
        <v>114</v>
      </c>
      <c r="B84" s="160" t="s">
        <v>148</v>
      </c>
      <c r="C84" s="160" t="s">
        <v>104</v>
      </c>
      <c r="D84" s="160" t="s">
        <v>105</v>
      </c>
      <c r="E84" s="160" t="s">
        <v>358</v>
      </c>
      <c r="G84" s="160" t="s">
        <v>138</v>
      </c>
      <c r="H84" s="160">
        <v>1</v>
      </c>
    </row>
    <row r="85" spans="1:9" x14ac:dyDescent="0.3">
      <c r="B85" s="160" t="s">
        <v>121</v>
      </c>
      <c r="C85" s="160">
        <f>IFERROR(VLOOKUP(C40,'коефіцієнт витрат'!B2:C6,2,),70%)</f>
        <v>0.7</v>
      </c>
      <c r="D85" s="160">
        <f>IFERROR(VLOOKUP(D40,'коефіцієнт витрат'!B2:C6,2,),70%)</f>
        <v>0.7</v>
      </c>
      <c r="E85" s="160">
        <f>IFERROR(VLOOKUP(E40,'коефіцієнт витрат'!B2:C6,2,),70%)</f>
        <v>0.7</v>
      </c>
      <c r="G85" s="160" t="s">
        <v>139</v>
      </c>
      <c r="H85" s="160">
        <v>1.266</v>
      </c>
    </row>
    <row r="86" spans="1:9" x14ac:dyDescent="0.3">
      <c r="B86" s="160" t="s">
        <v>115</v>
      </c>
      <c r="C86" s="160">
        <f>IF(C33="Чистий дохід за мінусом податків",1,0.805)*C34-C35</f>
        <v>1610000</v>
      </c>
      <c r="D86" s="160">
        <f>IF(D33="Чистий дохід за мінусом податків",1,0.805)*D34-D35</f>
        <v>0</v>
      </c>
      <c r="E86" s="160">
        <f>IF(E33="Чистий дохід за мінусом податків",1,0.805)*E34-E35</f>
        <v>0</v>
      </c>
      <c r="G86" s="160" t="s">
        <v>293</v>
      </c>
      <c r="H86" s="160">
        <v>1420.07</v>
      </c>
    </row>
    <row r="87" spans="1:9" x14ac:dyDescent="0.3">
      <c r="B87" s="160" t="s">
        <v>116</v>
      </c>
      <c r="C87" s="160">
        <f>C38</f>
        <v>0</v>
      </c>
      <c r="D87" s="160">
        <f>D38</f>
        <v>0</v>
      </c>
      <c r="E87" s="160">
        <f>E38</f>
        <v>0</v>
      </c>
      <c r="G87" s="160" t="s">
        <v>150</v>
      </c>
      <c r="H87" s="160">
        <v>4000000</v>
      </c>
    </row>
    <row r="88" spans="1:9" x14ac:dyDescent="0.3">
      <c r="B88" s="160" t="s">
        <v>117</v>
      </c>
      <c r="C88" s="160">
        <f>(C41-C42)-MAX(C85*(C41-C42),C43)</f>
        <v>0</v>
      </c>
      <c r="D88" s="160">
        <f>(D41-D42)-MAX(D85*(D41-D42),D43)</f>
        <v>0</v>
      </c>
      <c r="E88" s="160">
        <f>(E41-E42)-MAX(E85*(E41-E42),E43)</f>
        <v>0</v>
      </c>
      <c r="G88" s="160" t="s">
        <v>158</v>
      </c>
      <c r="H88" s="160">
        <f>IF(AND(C1="Автокредит",C5&lt;=1000000),0.7,IF(AND(C1="Автокредит",C5&gt;1000000,C5&lt;=2000000),0.6,IF(AND(C1="Автокредит",C5&gt;2000000),0.5,0.8)))</f>
        <v>0.5</v>
      </c>
      <c r="I88" s="160" t="s">
        <v>352</v>
      </c>
    </row>
    <row r="89" spans="1:9" x14ac:dyDescent="0.3">
      <c r="B89" s="160" t="s">
        <v>118</v>
      </c>
      <c r="C89" s="160">
        <f>C45</f>
        <v>0</v>
      </c>
      <c r="D89" s="160">
        <f>D45</f>
        <v>0</v>
      </c>
      <c r="E89" s="160">
        <f>E45</f>
        <v>0</v>
      </c>
      <c r="G89" s="160" t="s">
        <v>304</v>
      </c>
      <c r="H89" s="160">
        <v>1</v>
      </c>
    </row>
    <row r="90" spans="1:9" x14ac:dyDescent="0.3">
      <c r="B90" s="160" t="s">
        <v>119</v>
      </c>
      <c r="C90" s="160">
        <f>C48-C49</f>
        <v>0</v>
      </c>
      <c r="D90" s="160">
        <f>D48-D49</f>
        <v>0</v>
      </c>
      <c r="E90" s="160">
        <f>E48-E49</f>
        <v>0</v>
      </c>
      <c r="G90" s="160" t="s">
        <v>390</v>
      </c>
      <c r="H90" s="160">
        <v>1</v>
      </c>
    </row>
    <row r="91" spans="1:9" x14ac:dyDescent="0.3">
      <c r="B91" s="160" t="s">
        <v>120</v>
      </c>
      <c r="C91" s="160">
        <f>(C51-C52)</f>
        <v>0</v>
      </c>
      <c r="D91" s="160">
        <f>(D51-D52)</f>
        <v>0</v>
      </c>
      <c r="E91" s="160">
        <f>(E51-E52)</f>
        <v>0</v>
      </c>
      <c r="G91" s="160" t="s">
        <v>112</v>
      </c>
      <c r="H91" s="160">
        <f>IF(C1="Поточні потреби під заставу нерухомості",2000000,4000000)</f>
        <v>4000000</v>
      </c>
      <c r="I91" s="160" t="s">
        <v>393</v>
      </c>
    </row>
    <row r="92" spans="1:9" x14ac:dyDescent="0.3">
      <c r="B92" s="160" t="s">
        <v>127</v>
      </c>
      <c r="C92" s="160">
        <f>SUM(C86:C91)</f>
        <v>1610000</v>
      </c>
      <c r="D92" s="160">
        <f>SUM(D86:D91)</f>
        <v>0</v>
      </c>
      <c r="E92" s="160">
        <f>SUM(E86:E91)</f>
        <v>0</v>
      </c>
    </row>
    <row r="93" spans="1:9" x14ac:dyDescent="0.3">
      <c r="B93" s="160" t="s">
        <v>128</v>
      </c>
      <c r="C93" s="160">
        <f>C92+D92+IF(C9="Так",E92,0)</f>
        <v>1610000</v>
      </c>
    </row>
    <row r="95" spans="1:9" x14ac:dyDescent="0.3">
      <c r="A95" s="160" t="s">
        <v>129</v>
      </c>
      <c r="B95" s="160" t="s">
        <v>130</v>
      </c>
      <c r="C95" s="160">
        <f>H82</f>
        <v>30</v>
      </c>
    </row>
    <row r="96" spans="1:9" x14ac:dyDescent="0.3">
      <c r="B96" s="160" t="s">
        <v>131</v>
      </c>
      <c r="C96" s="160">
        <f>IF(C3&lt;&gt;"",C4/C3*100,0)</f>
        <v>70</v>
      </c>
    </row>
    <row r="97" spans="1:4" x14ac:dyDescent="0.3">
      <c r="B97" s="160" t="s">
        <v>129</v>
      </c>
      <c r="C97" s="160">
        <f>IF(C1="Поточні потреби під заставу нерухомості",C82,IF(C96&gt;C95,C3-C4+(D10+D11+D12)*H90,C3-(C3*C95/100)+(D10+D11+D12)*H90))</f>
        <v>103960.00000000003</v>
      </c>
    </row>
    <row r="99" spans="1:4" x14ac:dyDescent="0.3">
      <c r="A99" s="160" t="s">
        <v>132</v>
      </c>
      <c r="B99" s="160" t="s">
        <v>133</v>
      </c>
      <c r="C99" s="160">
        <f>H83</f>
        <v>0.65</v>
      </c>
    </row>
    <row r="100" spans="1:4" x14ac:dyDescent="0.3">
      <c r="B100" s="160" t="s">
        <v>305</v>
      </c>
      <c r="C100" s="160">
        <f>C54+D54+E54+C55+D55+E55</f>
        <v>0</v>
      </c>
    </row>
    <row r="101" spans="1:4" x14ac:dyDescent="0.3">
      <c r="B101" s="160" t="s">
        <v>132</v>
      </c>
      <c r="C101" s="160" t="e">
        <f>IF(C78&lt;&gt;0,(C99*C93-C100)/C78,0)</f>
        <v>#VALUE!</v>
      </c>
    </row>
    <row r="103" spans="1:4" x14ac:dyDescent="0.3">
      <c r="A103" s="160" t="s">
        <v>137</v>
      </c>
      <c r="B103" s="160" t="s">
        <v>138</v>
      </c>
      <c r="C103" s="160">
        <f>H84</f>
        <v>1</v>
      </c>
    </row>
    <row r="104" spans="1:4" x14ac:dyDescent="0.3">
      <c r="B104" s="160" t="s">
        <v>139</v>
      </c>
      <c r="C104" s="160">
        <f>H85</f>
        <v>1.266</v>
      </c>
    </row>
    <row r="105" spans="1:4" x14ac:dyDescent="0.3">
      <c r="B105" s="160" t="s">
        <v>293</v>
      </c>
      <c r="C105" s="160">
        <f>H86</f>
        <v>1420.07</v>
      </c>
    </row>
    <row r="106" spans="1:4" x14ac:dyDescent="0.3">
      <c r="C106" s="160" t="s">
        <v>104</v>
      </c>
      <c r="D106" s="160" t="s">
        <v>358</v>
      </c>
    </row>
    <row r="107" spans="1:4" x14ac:dyDescent="0.3">
      <c r="B107" s="160" t="s">
        <v>294</v>
      </c>
      <c r="C107" s="160">
        <f>IF(C112&lt;=4,VLOOKUP(C112,'Таблиця МП_БВС'!H:I,2,),IF(C112&gt;4,'Таблиця МП_БВС'!$I$7+(C112-4)*C105,0))</f>
        <v>5120.17</v>
      </c>
      <c r="D107" s="160">
        <f>IF(D112&lt;=4,VLOOKUP(D112,'Таблиця МП_БВС'!H:I,2,),IF(D112&gt;4,'Таблиця МП_БВС'!$I$7+(D112-4)*C105,0))</f>
        <v>5120.17</v>
      </c>
    </row>
    <row r="108" spans="1:4" x14ac:dyDescent="0.3">
      <c r="B108" s="160" t="s">
        <v>140</v>
      </c>
      <c r="C108" s="160">
        <f>IFERROR(VLOOKUP(C20,'Таблиця МП_БВС'!$B:$E,4,),1.33)</f>
        <v>1.33</v>
      </c>
      <c r="D108" s="160">
        <f>IFERROR(VLOOKUP(D20,'Таблиця МП_БВС'!$B:$E,4,),1)</f>
        <v>1</v>
      </c>
    </row>
    <row r="109" spans="1:4" x14ac:dyDescent="0.3">
      <c r="B109" s="160" t="s">
        <v>141</v>
      </c>
      <c r="C109" s="160">
        <f>IFERROR(VLOOKUP(C21,'Таблиця МП_БВС'!$B:$E,4,),1.33)</f>
        <v>1.33</v>
      </c>
      <c r="D109" s="160">
        <f>IFERROR(VLOOKUP(D21,'Таблиця МП_БВС'!$B:$E,4,),1)</f>
        <v>1</v>
      </c>
    </row>
    <row r="110" spans="1:4" x14ac:dyDescent="0.3">
      <c r="B110" s="160" t="s">
        <v>142</v>
      </c>
      <c r="C110" s="160">
        <f>IFERROR(VLOOKUP(C22,'Таблиця МП_БВС'!$B:$E,4,),1.33)</f>
        <v>1.33</v>
      </c>
      <c r="D110" s="160">
        <f>IFERROR(VLOOKUP(C22,'Таблиця МП_БВС'!$B:$E,4,),1)</f>
        <v>1</v>
      </c>
    </row>
    <row r="111" spans="1:4" x14ac:dyDescent="0.3">
      <c r="B111" s="160" t="s">
        <v>17</v>
      </c>
      <c r="C111" s="160">
        <f>IF(C1="Автокредит",MAX(C108,C109),MAX(C108,C109,C110))</f>
        <v>1.33</v>
      </c>
      <c r="D111" s="160">
        <f>MAX(D108,D109,D110)</f>
        <v>1</v>
      </c>
    </row>
    <row r="112" spans="1:4" x14ac:dyDescent="0.3">
      <c r="B112" s="160" t="s">
        <v>143</v>
      </c>
      <c r="C112" s="160">
        <f>1+IF(OR(H18="одружений(на)",H18="не зареєстрований шлюб"),1,0)+H19</f>
        <v>1</v>
      </c>
      <c r="D112" s="160">
        <f>1+IF(OR(I18="одружений(на)",I18="не зареєстрований шлюб"),1,0)+I19</f>
        <v>1</v>
      </c>
    </row>
    <row r="113" spans="1:4" x14ac:dyDescent="0.3">
      <c r="B113" s="160" t="s">
        <v>144</v>
      </c>
      <c r="C113" s="160">
        <f>MAX(C19,C107*C111*$C$104)</f>
        <v>8621.2398426</v>
      </c>
      <c r="D113" s="160">
        <f>IF(C9="Так",MAX(D19,D107*D111*$C$104),0)</f>
        <v>0</v>
      </c>
    </row>
    <row r="114" spans="1:4" x14ac:dyDescent="0.3">
      <c r="B114" s="160" t="s">
        <v>137</v>
      </c>
      <c r="C114" s="160" t="e">
        <f>IF(C78&lt;&gt;0,(C103*C93-C100-C113-D113)/C78,0)</f>
        <v>#VALUE!</v>
      </c>
    </row>
    <row r="116" spans="1:4" x14ac:dyDescent="0.3">
      <c r="A116" s="160" t="s">
        <v>147</v>
      </c>
      <c r="B116" s="160" t="s">
        <v>148</v>
      </c>
    </row>
    <row r="118" spans="1:4" x14ac:dyDescent="0.3">
      <c r="A118" s="160" t="s">
        <v>149</v>
      </c>
      <c r="B118" s="160" t="s">
        <v>150</v>
      </c>
      <c r="C118" s="160">
        <f>H87</f>
        <v>4000000</v>
      </c>
    </row>
    <row r="119" spans="1:4" x14ac:dyDescent="0.3">
      <c r="B119" s="160" t="s">
        <v>151</v>
      </c>
      <c r="C119" s="160">
        <f>C63+C64+C65+C66</f>
        <v>0</v>
      </c>
    </row>
    <row r="120" spans="1:4" x14ac:dyDescent="0.3">
      <c r="B120" s="160" t="s">
        <v>149</v>
      </c>
      <c r="C120" s="160">
        <f>C118-C119</f>
        <v>4000000</v>
      </c>
    </row>
    <row r="122" spans="1:4" x14ac:dyDescent="0.3">
      <c r="A122" s="160" t="s">
        <v>152</v>
      </c>
      <c r="B122" s="160" t="s">
        <v>112</v>
      </c>
      <c r="C122" s="160">
        <f>$H$91</f>
        <v>4000000</v>
      </c>
    </row>
    <row r="124" spans="1:4" x14ac:dyDescent="0.3">
      <c r="B124" s="160" t="s">
        <v>152</v>
      </c>
      <c r="C124" s="160">
        <f>IF(C123+H5*31&lt;=C122,C80,0)</f>
        <v>4000000</v>
      </c>
    </row>
    <row r="126" spans="1:4" x14ac:dyDescent="0.3">
      <c r="A126" s="160" t="s">
        <v>153</v>
      </c>
      <c r="B126" s="160" t="s">
        <v>153</v>
      </c>
      <c r="C126" s="160">
        <f>IF(C13=0,C3-C4+SUMIF(C10:C12,"Так",D10:D12),C13)</f>
        <v>100000.00000000003</v>
      </c>
    </row>
    <row r="128" spans="1:4" x14ac:dyDescent="0.3">
      <c r="A128" s="160" t="s">
        <v>154</v>
      </c>
      <c r="B128" s="160" t="s">
        <v>148</v>
      </c>
    </row>
    <row r="129" spans="1:3" x14ac:dyDescent="0.3">
      <c r="A129" s="160" t="s">
        <v>155</v>
      </c>
      <c r="B129" s="160" t="s">
        <v>148</v>
      </c>
    </row>
    <row r="130" spans="1:3" x14ac:dyDescent="0.3">
      <c r="A130" s="160" t="s">
        <v>156</v>
      </c>
      <c r="B130" s="160" t="s">
        <v>148</v>
      </c>
    </row>
    <row r="132" spans="1:3" x14ac:dyDescent="0.3">
      <c r="A132" s="160" t="s">
        <v>157</v>
      </c>
      <c r="B132" s="160" t="s">
        <v>158</v>
      </c>
      <c r="C132" s="160">
        <f>H88</f>
        <v>0.5</v>
      </c>
    </row>
    <row r="133" spans="1:3" x14ac:dyDescent="0.3">
      <c r="B133" s="160" t="s">
        <v>157</v>
      </c>
      <c r="C133" s="160">
        <f>IF(C5&gt;0,C132*C5,0)</f>
        <v>2500000</v>
      </c>
    </row>
    <row r="135" spans="1:3" x14ac:dyDescent="0.3">
      <c r="B135" s="160" t="s">
        <v>161</v>
      </c>
      <c r="C135" s="160" t="e">
        <f>ROUNDDOWN(MAX(MIN(C82,C97,C101,C114,C120,C124,C126,C133),0)*H89,-2)</f>
        <v>#VALUE!</v>
      </c>
    </row>
    <row r="138" spans="1:3" x14ac:dyDescent="0.3">
      <c r="B138" s="160" t="s">
        <v>165</v>
      </c>
    </row>
    <row r="139" spans="1:3" x14ac:dyDescent="0.3">
      <c r="A139" s="160" t="s">
        <v>176</v>
      </c>
      <c r="B139" s="160" t="s">
        <v>214</v>
      </c>
      <c r="C139" s="160">
        <f>IF(H3 = "класика",C135*C77,IF(AND(C1="Автокредит",H3 = "ануїтет"),ROUND(Ануїтетна_графік_Авто!C33,2),ROUND(Ануїтетна_графік_Іпотека!C33,2)))</f>
        <v>33016.53</v>
      </c>
    </row>
    <row r="140" spans="1:3" x14ac:dyDescent="0.3">
      <c r="A140" s="160" t="s">
        <v>307</v>
      </c>
      <c r="B140" s="160" t="s">
        <v>308</v>
      </c>
      <c r="C140" s="160">
        <f>IFERROR(MAX(C19,'Таблиця МП_БВС'!I4*MAX('Таблиця МП_БВС'!$E$3:$E$47)*H85),0)</f>
        <v>8621.2398426</v>
      </c>
    </row>
    <row r="141" spans="1:3" x14ac:dyDescent="0.3">
      <c r="A141" s="160" t="s">
        <v>177</v>
      </c>
      <c r="B141" s="160" t="s">
        <v>309</v>
      </c>
      <c r="C141" s="160">
        <f>MAX(C92-C140-C54-C55,0)</f>
        <v>1601378.7601574</v>
      </c>
    </row>
    <row r="142" spans="1:3" x14ac:dyDescent="0.3">
      <c r="A142" s="160" t="s">
        <v>178</v>
      </c>
      <c r="B142" s="160" t="s">
        <v>167</v>
      </c>
      <c r="C142" s="160">
        <f>IF(C92=0,0,C92/(C140+C54+C55+C139))</f>
        <v>38.666816356547358</v>
      </c>
    </row>
    <row r="143" spans="1:3" x14ac:dyDescent="0.3">
      <c r="A143" s="160" t="s">
        <v>179</v>
      </c>
      <c r="B143" s="160" t="s">
        <v>168</v>
      </c>
      <c r="C143" s="160">
        <f>IF(C92=0,0,(C139+C54+C55)/C92)</f>
        <v>2.050716149068323E-2</v>
      </c>
    </row>
    <row r="144" spans="1:3" x14ac:dyDescent="0.3">
      <c r="A144" s="160" t="s">
        <v>180</v>
      </c>
      <c r="B144" s="160" t="s">
        <v>169</v>
      </c>
      <c r="C144" s="160" t="e">
        <f>IF(C5=0,0,C135*(1+H6/100*31/360)/C5)</f>
        <v>#VALUE!</v>
      </c>
    </row>
    <row r="145" spans="1:4" x14ac:dyDescent="0.3">
      <c r="A145" s="160" t="s">
        <v>181</v>
      </c>
      <c r="B145" s="160" t="s">
        <v>175</v>
      </c>
      <c r="C145" s="160">
        <f>IF(C58="I",C59,C59/4)</f>
        <v>0</v>
      </c>
    </row>
    <row r="146" spans="1:4" x14ac:dyDescent="0.3">
      <c r="B146" s="160" t="s">
        <v>174</v>
      </c>
      <c r="C146" s="160">
        <f>IF(C58="I",C60,
IF(C58="II",C60,
IF(C58="III",C60/2,
IF(C58="IV",C60/3,0))))</f>
        <v>0</v>
      </c>
      <c r="D146" s="160" t="s">
        <v>213</v>
      </c>
    </row>
    <row r="147" spans="1:4" x14ac:dyDescent="0.3">
      <c r="B147" s="160" t="s">
        <v>170</v>
      </c>
      <c r="C147" s="160" t="str">
        <f>IF(OR(C145=0,C146=0),"Позич не здійснює п.д.",IF(C58="I",(C145/C146-1)*100%,(C146/C145-1)*100%))</f>
        <v>Позич не здійснює п.д.</v>
      </c>
    </row>
    <row r="149" spans="1:4" x14ac:dyDescent="0.3">
      <c r="B149" s="160" t="s">
        <v>182</v>
      </c>
    </row>
    <row r="150" spans="1:4" x14ac:dyDescent="0.3">
      <c r="A150" s="160">
        <v>1</v>
      </c>
      <c r="B150" s="160" t="s">
        <v>167</v>
      </c>
      <c r="C150" s="160">
        <f>IF(C142&lt;=0.5,0,IF(C142&lt;=1,600,IF(C142&lt;=1.05,1000,IF(C142&lt;=1.1,1200,IF(C142&lt;=1.15,1400,1500)))))</f>
        <v>1500</v>
      </c>
    </row>
    <row r="151" spans="1:4" x14ac:dyDescent="0.3">
      <c r="A151" s="160">
        <v>2</v>
      </c>
      <c r="B151" s="160" t="s">
        <v>169</v>
      </c>
      <c r="C151" s="160" t="e">
        <f>IF(C144&lt;0.5,1250,IF(C144&lt;0.7,1000,IF(C144&lt;0.8,750,IF(C144&lt;1,500,IF(C144&lt;1.3,250,0)))))</f>
        <v>#VALUE!</v>
      </c>
    </row>
    <row r="152" spans="1:4" x14ac:dyDescent="0.3">
      <c r="A152" s="160">
        <v>3</v>
      </c>
      <c r="B152" s="160" t="s">
        <v>168</v>
      </c>
      <c r="C152" s="160">
        <f>IF(C143&lt;0.85,1000,IF(C143&lt;0.9,800,IF(C143&lt;0.95,600,IF(C143&lt;1,400,200))))</f>
        <v>1000</v>
      </c>
    </row>
    <row r="153" spans="1:4" x14ac:dyDescent="0.3">
      <c r="A153" s="160">
        <v>4</v>
      </c>
      <c r="B153" s="160" t="s">
        <v>166</v>
      </c>
      <c r="C153" s="160">
        <f>IF(C141&gt;=C139,500,0)</f>
        <v>500</v>
      </c>
    </row>
    <row r="154" spans="1:4" x14ac:dyDescent="0.3">
      <c r="B154" s="160" t="s">
        <v>183</v>
      </c>
    </row>
    <row r="155" spans="1:4" x14ac:dyDescent="0.3">
      <c r="A155" s="160">
        <v>5</v>
      </c>
      <c r="B155" s="160" t="s">
        <v>184</v>
      </c>
      <c r="C155" s="160">
        <f>IF(C24&lt;=35,84,IF(C24&lt;=83,87,IF(C24&lt;=195,92,98)))</f>
        <v>84</v>
      </c>
    </row>
    <row r="156" spans="1:4" x14ac:dyDescent="0.3">
      <c r="A156" s="160">
        <v>6</v>
      </c>
      <c r="B156" s="160" t="s">
        <v>185</v>
      </c>
      <c r="C156" s="160">
        <f>SUM(C157:C160)</f>
        <v>87</v>
      </c>
    </row>
    <row r="157" spans="1:4" x14ac:dyDescent="0.3">
      <c r="B157" s="160" t="s">
        <v>207</v>
      </c>
      <c r="C157" s="160">
        <f>IF(AND(H23="так",H24="так",H25="ні",H26="ні",H27="ні"),81,
IF(AND(H23="так",H24="так",H25="ні",H26="ні",H27="так"),81,
IF(AND(H23="так",H24="ні",H25="ні",H26="ні",H27="так"),81,
IF(AND(H23="так",H24="ні",H25="так",H26="ні",H27="ні"),81,
IF(AND(H23="так",H24="так",H25="ні",H26="так",H27="ні"),81,
IF(AND(H23="ні",H24="так",H25="ні",H26="так",H27="ні"),81,
IF(AND(H23="ні",H24="так",H25="так",H26="так",H27="ні"),81,
IF(AND(H23="ні",H24="так",H25="ні",H26="так",H27="так"),81,0))))))))</f>
        <v>0</v>
      </c>
    </row>
    <row r="158" spans="1:4" x14ac:dyDescent="0.3">
      <c r="B158" s="160" t="s">
        <v>208</v>
      </c>
      <c r="C158" s="160">
        <f>IF(AND(H23="так",H24="так",H25="так",H26="ні",H27="ні"),90,
IF(AND(H23="ні",H24="так",H25="ні",H26="ні",H27="ні"),90,
IF(AND(H23="так",H24="так",H25="так",H26="ні",H27="так"),90,
IF(AND(H23="ні",H24="так",H25="ні",H26="ні",H27="так"),90,
IF(AND(H23="ні",H24="ні",H25="так",H26="ні",H27="так"),90,
IF(AND(H23="ні",H24="ні",H25="ні",H26="так",H27="ні"),90,
IF(AND(H23="так",H24="ні",H25="так",H26="так",H27="так"),90,0)))))))</f>
        <v>0</v>
      </c>
    </row>
    <row r="159" spans="1:4" x14ac:dyDescent="0.3">
      <c r="B159" s="160" t="s">
        <v>209</v>
      </c>
      <c r="C159" s="160">
        <f>IF(AND(H23="так",H24="ні",H25="ні",H26="ні",H27="ні"),87,
IF(AND(H23="так",H24="так",H25="так",H26="так",H27="ні"),87,
IF(AND(H23="так",H24="ні",H25="так",H26="так",H27="ні"),87,
IF(AND(H23="так",H24="ні",H25="ні",H26="так",H27="так"),87,
IF(AND(H23="ні",H24="ні",H25="так",H26="так",H27="ні"),87,
IF(AND(H23="ні",H24="ні",H25="ні",H26="так",H27="так"),87,
IF(AND(H23="так",H24="ні",H25="ні",H26="так",H27="ні"),87,
IF(AND(H23="ні",H24="ні",H25="так",H26="ні",H27="ні"),87,
IF(AND(H23="ні",H24="ні",H25="ні",H26="ні",H27="ні"),87,
IF(AND(H23="",H24="",H25="",H26="",H27=""),87,0))))))))))</f>
        <v>87</v>
      </c>
    </row>
    <row r="160" spans="1:4" x14ac:dyDescent="0.3">
      <c r="B160" s="160" t="s">
        <v>210</v>
      </c>
      <c r="C160" s="160">
        <f>IF(AND(H23="так",H24="ні",H25="так",H26="ні",H27="так"),94,
IF(AND(H23="ні",H24="так",H25="так",H26="ні",H27="ні"),94,
IF(AND(H23="ні",H24="так",H25="так",H26="ні",H27="так"),94,
IF(AND(H23="ні",H24="ні",H25="ні",H26="ні",H27="так"),94,
IF(AND(H23="так",H24="так",H25="так",H26="так",H27="так"),94,
IF(AND(H23="ні",H24="так",H25="так",H26="так",H27="так"),94,
IF(AND(H23="ні",H24="ні",H25="так",H26="так",H27="так"),94,0)))))))</f>
        <v>0</v>
      </c>
    </row>
    <row r="161" spans="1:3" x14ac:dyDescent="0.3">
      <c r="A161" s="160">
        <v>7</v>
      </c>
      <c r="B161" s="160" t="s">
        <v>186</v>
      </c>
      <c r="C161" s="160">
        <f ca="1">IF(DATEDIF(H20,TODAY(),"Y")&lt;=25,87,
IF(DATEDIF(H20,TODAY(),"Y")&lt;=40,88,
IF(DATEDIF(H20,TODAY(),"Y")&lt;=48,89,
IF(DATEDIF(H20,TODAY(),"Y")&lt;=55,92,93))))</f>
        <v>88</v>
      </c>
    </row>
    <row r="162" spans="1:3" x14ac:dyDescent="0.3">
      <c r="A162" s="160">
        <v>8</v>
      </c>
      <c r="B162" s="160" t="s">
        <v>187</v>
      </c>
      <c r="C162" s="160">
        <f>SUM(C163:C165)</f>
        <v>92</v>
      </c>
    </row>
    <row r="163" spans="1:3" x14ac:dyDescent="0.3">
      <c r="B163" s="160" t="s">
        <v>207</v>
      </c>
      <c r="C163" s="160">
        <f>IF(AND(H18="не одружений(на)",H19&gt;0),92,
IF(AND(H18="не одружений(на)",H19=0),92,
IF(AND(H18="розлучений(на)",H19&gt;0),92,
IF(AND(H18="не зареєстрований шлюб",H19=0),92,0))))</f>
        <v>92</v>
      </c>
    </row>
    <row r="164" spans="1:3" x14ac:dyDescent="0.3">
      <c r="B164" s="160" t="s">
        <v>208</v>
      </c>
      <c r="C164" s="160">
        <f>IF(AND(H18="вдова/вдівець",H19=0),90,
IF(AND(H18="одружений(на)",H19&gt;0),90,
IF(AND(H18="не зареєстрований шлюб",H19&gt;0),90,0)))</f>
        <v>0</v>
      </c>
    </row>
    <row r="165" spans="1:3" x14ac:dyDescent="0.3">
      <c r="B165" s="160" t="s">
        <v>209</v>
      </c>
      <c r="C165" s="160">
        <f>IF(AND(H18="вдова/вдівець",H19&gt;0),88,
IF(AND(H18="одружений(на)",H19=0),88,
IF(AND(H18="розлучений(на)",H19=0),88,0)))</f>
        <v>0</v>
      </c>
    </row>
    <row r="166" spans="1:3" x14ac:dyDescent="0.3">
      <c r="A166" s="160">
        <v>9</v>
      </c>
      <c r="B166" s="160" t="s">
        <v>212</v>
      </c>
      <c r="C166" s="160">
        <f>IF(C25&lt;=7,200,IF(C25&lt;=30,100,IF(C25&lt;=60,50,IF(C25&lt;=90,25,0))))</f>
        <v>200</v>
      </c>
    </row>
    <row r="167" spans="1:3" x14ac:dyDescent="0.3">
      <c r="A167" s="160">
        <v>10</v>
      </c>
      <c r="B167" s="160" t="s">
        <v>188</v>
      </c>
      <c r="C167" s="160">
        <f>IF(OR(C147&gt;=10%,C147="Позич не здійснює п.д."),173,
IF(AND(C147&gt;=0%,C147&lt;10%),100,
IF(AND(C147&gt;=-10%,C147&lt;0%),20,
IF(OR(AND(C145&lt;=0,C146&gt;0),AND(C146&lt;0,C145&gt;0)),50,
IF(OR(C147&lt;-10%,AND(C145&lt;=0,C146&lt;=0),AND(C145&gt;0,C146&lt;=0),AND(C146&gt;0,C145&lt;=0),AND(C146=0,C145&gt;0),AND(C145=0,C146&gt;0)),0,0)))))</f>
        <v>173</v>
      </c>
    </row>
    <row r="169" spans="1:3" x14ac:dyDescent="0.3">
      <c r="A169" s="160" t="s">
        <v>216</v>
      </c>
      <c r="B169" s="160" t="s">
        <v>215</v>
      </c>
      <c r="C169" s="160" t="e">
        <f ca="1">SUM(C150:C153)+MIN(0.3/0.7*SUM(C150:C153),C155+C156+C161+C162+C166+C167)</f>
        <v>#VALUE!</v>
      </c>
    </row>
    <row r="170" spans="1:3" x14ac:dyDescent="0.3">
      <c r="B170" s="160" t="s">
        <v>217</v>
      </c>
      <c r="C170" s="160" t="e">
        <f ca="1">IF(C169&lt;1250,5,IF(C169&lt;2000,4,IF(C169&lt;3000,3,IF(C169&lt;3500,2,1))))</f>
        <v>#VALUE!</v>
      </c>
    </row>
    <row r="171" spans="1:3" x14ac:dyDescent="0.3">
      <c r="B171" s="160" t="s">
        <v>218</v>
      </c>
      <c r="C171" s="160">
        <f>IF(C143&lt;=0.5,1,IF(C143&lt;=0.6,2,IF(C143&lt;=0.7,3,IF(C143&lt;=0.8,4,5))))</f>
        <v>1</v>
      </c>
    </row>
    <row r="172" spans="1:3" x14ac:dyDescent="0.3">
      <c r="B172" s="160" t="s">
        <v>219</v>
      </c>
      <c r="C172" s="160">
        <f>IF(C25&lt;=7,1,IF(C25&lt;=30,2,IF(C25&lt;=60,3,IF(C25&lt;=90,4,5))))</f>
        <v>1</v>
      </c>
    </row>
    <row r="174" spans="1:3" x14ac:dyDescent="0.3">
      <c r="B174" s="160" t="s">
        <v>292</v>
      </c>
      <c r="C174" s="160" t="e">
        <f ca="1">IF(AND(H23="ні",H24="ні",H25="ні",H26="ні",H27="ні"),MAX(C170,C171,C172,2),MAX(C170,C171,C172))</f>
        <v>#VALUE!</v>
      </c>
    </row>
  </sheetData>
  <phoneticPr fontId="6" type="noConversion"/>
  <conditionalFormatting sqref="C112">
    <cfRule type="containsText" dxfId="67" priority="1" operator="containsText" text="Поручитель неплатоспроможний">
      <formula>NOT(ISERROR(SEARCH("Поручитель неплатоспроможний",C112)))</formula>
    </cfRule>
    <cfRule type="containsText" dxfId="66" priority="2" operator="containsText" text="Поручитель платоспроможний">
      <formula>NOT(ISERROR(SEARCH("Поручитель платоспроможний",C112)))</formula>
    </cfRule>
  </conditionalFormatting>
  <conditionalFormatting sqref="D1">
    <cfRule type="expression" dxfId="65" priority="3">
      <formula>IF(#REF!="Так",FALSE,TRUE)</formula>
    </cfRule>
  </conditionalFormatting>
  <dataValidations count="9">
    <dataValidation type="list" allowBlank="1" showInputMessage="1" showErrorMessage="1" sqref="H3" xr:uid="{2D38CE28-F5E9-44E6-B4CA-DE448DBDE02C}">
      <formula1>"ануїтет,класика"</formula1>
    </dataValidation>
    <dataValidation type="list" allowBlank="1" showInputMessage="1" showErrorMessage="1" sqref="H18:I18" xr:uid="{759601A3-F252-447D-9057-29F0577B07D0}">
      <formula1>"одружений(на),не одружений(на),не зареєстрований шлюб,розлучений(на),вдова/вдівець"</formula1>
    </dataValidation>
    <dataValidation type="list" allowBlank="1" showInputMessage="1" showErrorMessage="1" sqref="C58" xr:uid="{949FF970-C9DC-4B98-B477-26D48D404D54}">
      <formula1>"I,II,III,IV"</formula1>
    </dataValidation>
    <dataValidation type="list" allowBlank="1" showInputMessage="1" showErrorMessage="1" sqref="H23:H27" xr:uid="{729C46B5-033F-4190-ADF7-EC4DC0526171}">
      <formula1>"так,ні"</formula1>
    </dataValidation>
    <dataValidation type="list" allowBlank="1" showInputMessage="1" showErrorMessage="1" sqref="C9:C12" xr:uid="{61CE32AE-B0FD-44B4-8CBC-3F6697C57A8C}">
      <formula1>"Так,Ні"</formula1>
    </dataValidation>
    <dataValidation type="list" allowBlank="1" showInputMessage="1" showErrorMessage="1" sqref="C1" xr:uid="{24FA0CA8-FCFF-4450-9A24-87F5468D4D58}">
      <formula1>"Автокредит,Іпотечний кредит,Поточні потреби під заставу нерухомості"</formula1>
    </dataValidation>
    <dataValidation showInputMessage="1" showErrorMessage="1" sqref="B29" xr:uid="{1C78395D-6853-4D7C-A98C-AB02E994C89B}"/>
    <dataValidation type="list" allowBlank="1" showInputMessage="1" showErrorMessage="1" sqref="H8:K8" xr:uid="{12EB9F2D-FE09-4CF9-A6F7-FDF80E6BC31B}">
      <formula1>"Фіксована,Змінна"</formula1>
    </dataValidation>
    <dataValidation type="list" allowBlank="1" showInputMessage="1" showErrorMessage="1" sqref="C33:E33" xr:uid="{BF11B582-84A8-440D-89F7-38D5D302E919}">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r:id="rId1"/>
  <headerFooter>
    <oddHeader>&amp;R&amp;"Calibri"&amp;10&amp;KFF0000КОНФІДЕНЦІЙНА ІНФОРМАЦІЯ&amp;1#</oddHeader>
  </headerFooter>
  <drawing r:id="rId2"/>
  <legacyDrawing r:id="rId3"/>
  <controls>
    <mc:AlternateContent xmlns:mc="http://schemas.openxmlformats.org/markup-compatibility/2006">
      <mc:Choice Requires="x14">
        <control shapeId="8204" r:id="rId4" name="CommandButton1">
          <controlPr defaultSize="0" autoLine="0" r:id="rId5">
            <anchor moveWithCells="1">
              <from>
                <xdr:col>0</xdr:col>
                <xdr:colOff>0</xdr:colOff>
                <xdr:row>0</xdr:row>
                <xdr:rowOff>0</xdr:rowOff>
              </from>
              <to>
                <xdr:col>65</xdr:col>
                <xdr:colOff>373380</xdr:colOff>
                <xdr:row>2</xdr:row>
                <xdr:rowOff>30480</xdr:rowOff>
              </to>
            </anchor>
          </controlPr>
        </control>
      </mc:Choice>
      <mc:Fallback>
        <control shapeId="8204" r:id="rId4" name="CommandButton1"/>
      </mc:Fallback>
    </mc:AlternateContent>
    <mc:AlternateContent xmlns:mc="http://schemas.openxmlformats.org/markup-compatibility/2006">
      <mc:Choice Requires="x14">
        <control shapeId="8196" r:id="rId6" name="Button 4">
          <controlPr defaultSize="0" print="0" autoFill="0" autoPict="0" macro="[0]!choose_product">
            <anchor>
              <from>
                <xdr:col>85</xdr:col>
                <xdr:colOff>68580</xdr:colOff>
                <xdr:row>0</xdr:row>
                <xdr:rowOff>60960</xdr:rowOff>
              </from>
              <to>
                <xdr:col>86</xdr:col>
                <xdr:colOff>601980</xdr:colOff>
                <xdr:row>2</xdr:row>
                <xdr:rowOff>99060</xdr:rowOff>
              </to>
            </anchor>
          </controlPr>
        </control>
      </mc:Choice>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CB026B8F-DCC1-4578-A2EF-6C3F3E272AB6}">
          <x14:formula1>
            <xm:f>'Таблиця МП_БВС'!$B$3:$B$47</xm:f>
          </x14:formula1>
          <xm:sqref>C20:C22 D20:D21</xm:sqref>
        </x14:dataValidation>
        <x14:dataValidation type="list" allowBlank="1" showInputMessage="1" showErrorMessage="1" xr:uid="{4756AE63-AA60-47D6-B3CA-66254A1EBC03}">
          <x14:formula1>
            <xm:f>'коефіцієнт витрат'!$B$2:$B$7</xm:f>
          </x14:formula1>
          <xm:sqref>C40:D40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B0346-3C01-405E-AB0E-8D15AA467236}">
  <sheetPr codeName="Аркуш5"/>
  <dimension ref="A1:I47"/>
  <sheetViews>
    <sheetView topLeftCell="BK1" workbookViewId="0">
      <selection sqref="A1:BJ1048576"/>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62" width="0" style="160" hidden="1" customWidth="1"/>
    <col min="63" max="16384" width="8.6640625" style="160"/>
  </cols>
  <sheetData>
    <row r="1" spans="1:9" x14ac:dyDescent="0.3">
      <c r="A1" s="160" t="s">
        <v>295</v>
      </c>
      <c r="B1" s="158"/>
      <c r="C1" s="159"/>
      <c r="D1" s="159"/>
      <c r="H1" s="160" t="s">
        <v>296</v>
      </c>
    </row>
    <row r="2" spans="1:9" x14ac:dyDescent="0.3">
      <c r="A2" s="160" t="s">
        <v>13</v>
      </c>
      <c r="B2" s="161" t="s">
        <v>14</v>
      </c>
      <c r="C2" s="162" t="s">
        <v>15</v>
      </c>
      <c r="D2" s="162" t="s">
        <v>16</v>
      </c>
      <c r="E2" s="160" t="s">
        <v>17</v>
      </c>
      <c r="F2" s="160" t="s">
        <v>18</v>
      </c>
      <c r="H2" s="160" t="s">
        <v>297</v>
      </c>
      <c r="I2" s="160" t="s">
        <v>294</v>
      </c>
    </row>
    <row r="3" spans="1:9" x14ac:dyDescent="0.3">
      <c r="A3" s="160">
        <v>1</v>
      </c>
      <c r="B3" s="160" t="s">
        <v>19</v>
      </c>
      <c r="C3" s="163" t="s">
        <v>20</v>
      </c>
      <c r="D3" s="163" t="s">
        <v>21</v>
      </c>
      <c r="E3" s="160">
        <v>1.33</v>
      </c>
    </row>
    <row r="4" spans="1:9" x14ac:dyDescent="0.3">
      <c r="A4" s="160">
        <v>2</v>
      </c>
      <c r="B4" s="160" t="s">
        <v>89</v>
      </c>
      <c r="C4" s="163" t="s">
        <v>43</v>
      </c>
      <c r="D4" s="163" t="s">
        <v>24</v>
      </c>
      <c r="E4" s="160">
        <v>1.19</v>
      </c>
      <c r="F4" s="160" t="s">
        <v>25</v>
      </c>
      <c r="H4" s="160">
        <v>1</v>
      </c>
      <c r="I4" s="160">
        <v>5120.17</v>
      </c>
    </row>
    <row r="5" spans="1:9" x14ac:dyDescent="0.3">
      <c r="A5" s="160">
        <v>3</v>
      </c>
      <c r="B5" s="160" t="s">
        <v>84</v>
      </c>
      <c r="C5" s="163" t="s">
        <v>33</v>
      </c>
      <c r="D5" s="163"/>
      <c r="E5" s="160">
        <v>1.19</v>
      </c>
      <c r="H5" s="160">
        <v>2</v>
      </c>
      <c r="I5" s="160">
        <v>8474.64</v>
      </c>
    </row>
    <row r="6" spans="1:9" x14ac:dyDescent="0.3">
      <c r="A6" s="160">
        <v>4</v>
      </c>
      <c r="B6" s="160" t="s">
        <v>78</v>
      </c>
      <c r="C6" s="163" t="s">
        <v>20</v>
      </c>
      <c r="D6" s="163"/>
      <c r="E6" s="160">
        <v>1.19</v>
      </c>
      <c r="H6" s="160">
        <v>3</v>
      </c>
      <c r="I6" s="160">
        <v>11256.9</v>
      </c>
    </row>
    <row r="7" spans="1:9" x14ac:dyDescent="0.3">
      <c r="A7" s="160">
        <v>5</v>
      </c>
      <c r="B7" s="160" t="s">
        <v>87</v>
      </c>
      <c r="C7" s="163" t="s">
        <v>20</v>
      </c>
      <c r="D7" s="163"/>
      <c r="E7" s="160">
        <v>1.19</v>
      </c>
      <c r="H7" s="160">
        <v>4</v>
      </c>
      <c r="I7" s="160">
        <v>12676.98</v>
      </c>
    </row>
    <row r="8" spans="1:9" x14ac:dyDescent="0.3">
      <c r="A8" s="160">
        <v>6</v>
      </c>
      <c r="B8" s="160" t="s">
        <v>44</v>
      </c>
      <c r="C8" s="163" t="s">
        <v>45</v>
      </c>
      <c r="D8" s="163"/>
      <c r="E8" s="160">
        <v>1.19</v>
      </c>
      <c r="H8" s="160" t="s">
        <v>298</v>
      </c>
      <c r="I8" s="160" t="s">
        <v>299</v>
      </c>
    </row>
    <row r="9" spans="1:9" x14ac:dyDescent="0.3">
      <c r="A9" s="160">
        <v>7</v>
      </c>
      <c r="B9" s="160" t="s">
        <v>67</v>
      </c>
      <c r="C9" s="163" t="s">
        <v>31</v>
      </c>
      <c r="D9" s="163"/>
      <c r="E9" s="160">
        <v>1.19</v>
      </c>
    </row>
    <row r="10" spans="1:9" x14ac:dyDescent="0.3">
      <c r="A10" s="160">
        <v>8</v>
      </c>
      <c r="B10" s="160" t="s">
        <v>28</v>
      </c>
      <c r="C10" s="163" t="s">
        <v>29</v>
      </c>
      <c r="D10" s="163"/>
      <c r="E10" s="160">
        <v>1.19</v>
      </c>
      <c r="H10" s="160" t="s">
        <v>372</v>
      </c>
    </row>
    <row r="11" spans="1:9" x14ac:dyDescent="0.3">
      <c r="A11" s="160">
        <v>9</v>
      </c>
      <c r="B11" s="160" t="s">
        <v>30</v>
      </c>
      <c r="C11" s="160" t="s">
        <v>31</v>
      </c>
      <c r="E11" s="160">
        <v>1.19</v>
      </c>
      <c r="H11" s="160" t="s">
        <v>373</v>
      </c>
      <c r="I11" s="160" t="s">
        <v>374</v>
      </c>
    </row>
    <row r="12" spans="1:9" x14ac:dyDescent="0.3">
      <c r="A12" s="160">
        <v>10</v>
      </c>
      <c r="B12" s="161" t="s">
        <v>88</v>
      </c>
      <c r="C12" s="161" t="s">
        <v>47</v>
      </c>
      <c r="E12" s="160">
        <v>1.19</v>
      </c>
      <c r="H12" s="160" t="s">
        <v>375</v>
      </c>
      <c r="I12" s="160">
        <v>5.0000000000000001E-3</v>
      </c>
    </row>
    <row r="13" spans="1:9" x14ac:dyDescent="0.3">
      <c r="A13" s="160">
        <v>11</v>
      </c>
      <c r="B13" s="160" t="s">
        <v>61</v>
      </c>
      <c r="C13" s="163" t="s">
        <v>62</v>
      </c>
      <c r="E13" s="160">
        <v>1.19</v>
      </c>
      <c r="H13" s="160" t="s">
        <v>376</v>
      </c>
      <c r="I13" s="160">
        <v>0.01</v>
      </c>
    </row>
    <row r="14" spans="1:9" x14ac:dyDescent="0.3">
      <c r="A14" s="160">
        <v>12</v>
      </c>
      <c r="B14" s="160" t="s">
        <v>32</v>
      </c>
      <c r="C14" s="163" t="s">
        <v>33</v>
      </c>
      <c r="E14" s="160">
        <v>1.19</v>
      </c>
      <c r="H14" s="160" t="s">
        <v>377</v>
      </c>
      <c r="I14" s="160">
        <v>2.5000000000000001E-2</v>
      </c>
    </row>
    <row r="15" spans="1:9" x14ac:dyDescent="0.3">
      <c r="A15" s="160">
        <v>13</v>
      </c>
      <c r="B15" s="160" t="s">
        <v>68</v>
      </c>
      <c r="C15" s="163" t="s">
        <v>69</v>
      </c>
      <c r="E15" s="160">
        <v>1.19</v>
      </c>
    </row>
    <row r="16" spans="1:9" x14ac:dyDescent="0.3">
      <c r="A16" s="160">
        <v>14</v>
      </c>
      <c r="B16" s="160" t="s">
        <v>70</v>
      </c>
      <c r="C16" s="163" t="s">
        <v>29</v>
      </c>
      <c r="E16" s="160">
        <v>1.19</v>
      </c>
    </row>
    <row r="17" spans="1:9" x14ac:dyDescent="0.3">
      <c r="A17" s="160">
        <v>15</v>
      </c>
      <c r="B17" s="160" t="s">
        <v>81</v>
      </c>
      <c r="C17" s="163" t="s">
        <v>47</v>
      </c>
      <c r="E17" s="160">
        <v>1.19</v>
      </c>
      <c r="H17" s="160" t="s">
        <v>394</v>
      </c>
    </row>
    <row r="18" spans="1:9" x14ac:dyDescent="0.3">
      <c r="A18" s="160">
        <v>16</v>
      </c>
      <c r="B18" s="160" t="s">
        <v>79</v>
      </c>
      <c r="C18" s="160" t="s">
        <v>31</v>
      </c>
      <c r="E18" s="160">
        <v>1.19</v>
      </c>
      <c r="H18" s="160" t="s">
        <v>396</v>
      </c>
      <c r="I18" s="160" t="s">
        <v>395</v>
      </c>
    </row>
    <row r="19" spans="1:9" x14ac:dyDescent="0.3">
      <c r="A19" s="160">
        <v>17</v>
      </c>
      <c r="B19" s="160" t="s">
        <v>75</v>
      </c>
      <c r="C19" s="160" t="s">
        <v>54</v>
      </c>
      <c r="E19" s="160">
        <v>1.19</v>
      </c>
    </row>
    <row r="20" spans="1:9" x14ac:dyDescent="0.3">
      <c r="A20" s="160">
        <v>18</v>
      </c>
      <c r="B20" s="160" t="s">
        <v>36</v>
      </c>
      <c r="C20" s="160" t="s">
        <v>29</v>
      </c>
      <c r="E20" s="160">
        <v>1.19</v>
      </c>
    </row>
    <row r="21" spans="1:9" x14ac:dyDescent="0.3">
      <c r="A21" s="160">
        <v>19</v>
      </c>
      <c r="B21" s="160" t="s">
        <v>71</v>
      </c>
      <c r="C21" s="160" t="s">
        <v>72</v>
      </c>
      <c r="E21" s="160">
        <v>1.19</v>
      </c>
    </row>
    <row r="22" spans="1:9" x14ac:dyDescent="0.3">
      <c r="A22" s="160">
        <v>20</v>
      </c>
      <c r="B22" s="160" t="s">
        <v>42</v>
      </c>
      <c r="C22" s="160" t="s">
        <v>43</v>
      </c>
      <c r="E22" s="160">
        <v>1.19</v>
      </c>
    </row>
    <row r="23" spans="1:9" x14ac:dyDescent="0.3">
      <c r="A23" s="160">
        <v>21</v>
      </c>
      <c r="B23" s="160" t="s">
        <v>76</v>
      </c>
      <c r="C23" s="160" t="s">
        <v>77</v>
      </c>
      <c r="E23" s="160">
        <v>1.19</v>
      </c>
    </row>
    <row r="24" spans="1:9" x14ac:dyDescent="0.3">
      <c r="A24" s="160">
        <v>22</v>
      </c>
      <c r="B24" s="160" t="s">
        <v>34</v>
      </c>
      <c r="C24" s="160" t="s">
        <v>35</v>
      </c>
      <c r="E24" s="160">
        <v>1.19</v>
      </c>
    </row>
    <row r="25" spans="1:9" x14ac:dyDescent="0.3">
      <c r="A25" s="160">
        <v>23</v>
      </c>
      <c r="B25" s="160" t="s">
        <v>48</v>
      </c>
      <c r="C25" s="160" t="s">
        <v>31</v>
      </c>
      <c r="E25" s="160">
        <v>1.19</v>
      </c>
    </row>
    <row r="26" spans="1:9" x14ac:dyDescent="0.3">
      <c r="A26" s="160">
        <v>24</v>
      </c>
      <c r="B26" s="160" t="s">
        <v>39</v>
      </c>
      <c r="C26" s="160" t="s">
        <v>31</v>
      </c>
      <c r="E26" s="160">
        <v>1.19</v>
      </c>
    </row>
    <row r="27" spans="1:9" x14ac:dyDescent="0.3">
      <c r="A27" s="160">
        <v>25</v>
      </c>
      <c r="B27" s="160" t="s">
        <v>80</v>
      </c>
      <c r="C27" s="160" t="s">
        <v>33</v>
      </c>
      <c r="E27" s="160">
        <v>1.19</v>
      </c>
    </row>
    <row r="28" spans="1:9" x14ac:dyDescent="0.3">
      <c r="A28" s="160">
        <v>26</v>
      </c>
      <c r="B28" s="160" t="s">
        <v>37</v>
      </c>
      <c r="C28" s="160" t="s">
        <v>38</v>
      </c>
      <c r="E28" s="160">
        <v>1.19</v>
      </c>
    </row>
    <row r="29" spans="1:9" x14ac:dyDescent="0.3">
      <c r="A29" s="160">
        <v>27</v>
      </c>
      <c r="B29" s="160" t="s">
        <v>85</v>
      </c>
      <c r="C29" s="160" t="s">
        <v>29</v>
      </c>
      <c r="E29" s="160">
        <v>1.19</v>
      </c>
    </row>
    <row r="30" spans="1:9" x14ac:dyDescent="0.3">
      <c r="A30" s="160">
        <v>28</v>
      </c>
      <c r="B30" s="160" t="s">
        <v>26</v>
      </c>
      <c r="C30" s="160" t="s">
        <v>27</v>
      </c>
      <c r="E30" s="160">
        <v>1.19</v>
      </c>
    </row>
    <row r="31" spans="1:9" x14ac:dyDescent="0.3">
      <c r="A31" s="160">
        <v>29</v>
      </c>
      <c r="B31" s="160" t="s">
        <v>90</v>
      </c>
      <c r="C31" s="160" t="s">
        <v>29</v>
      </c>
      <c r="E31" s="160">
        <v>1.19</v>
      </c>
    </row>
    <row r="32" spans="1:9" x14ac:dyDescent="0.3">
      <c r="A32" s="160">
        <v>30</v>
      </c>
      <c r="B32" s="160" t="s">
        <v>53</v>
      </c>
      <c r="C32" s="160" t="s">
        <v>54</v>
      </c>
      <c r="E32" s="160">
        <v>1.19</v>
      </c>
    </row>
    <row r="33" spans="1:6" x14ac:dyDescent="0.3">
      <c r="A33" s="160">
        <v>31</v>
      </c>
      <c r="B33" s="160" t="s">
        <v>65</v>
      </c>
      <c r="C33" s="160" t="s">
        <v>66</v>
      </c>
      <c r="E33" s="160">
        <v>1.19</v>
      </c>
    </row>
    <row r="34" spans="1:6" x14ac:dyDescent="0.3">
      <c r="A34" s="160">
        <v>32</v>
      </c>
      <c r="B34" s="160" t="s">
        <v>40</v>
      </c>
      <c r="C34" s="160" t="s">
        <v>41</v>
      </c>
      <c r="E34" s="160">
        <v>1.19</v>
      </c>
    </row>
    <row r="35" spans="1:6" x14ac:dyDescent="0.3">
      <c r="A35" s="160">
        <v>33</v>
      </c>
      <c r="B35" s="160" t="s">
        <v>91</v>
      </c>
      <c r="C35" s="160" t="s">
        <v>43</v>
      </c>
      <c r="E35" s="160">
        <v>1.19</v>
      </c>
    </row>
    <row r="36" spans="1:6" x14ac:dyDescent="0.3">
      <c r="A36" s="160">
        <v>34</v>
      </c>
      <c r="B36" s="160" t="s">
        <v>46</v>
      </c>
      <c r="C36" s="160" t="s">
        <v>47</v>
      </c>
      <c r="E36" s="160">
        <v>1.19</v>
      </c>
    </row>
    <row r="37" spans="1:6" x14ac:dyDescent="0.3">
      <c r="A37" s="160">
        <v>35</v>
      </c>
      <c r="B37" s="160" t="s">
        <v>86</v>
      </c>
      <c r="C37" s="160" t="s">
        <v>31</v>
      </c>
      <c r="E37" s="160">
        <v>1.19</v>
      </c>
    </row>
    <row r="38" spans="1:6" x14ac:dyDescent="0.3">
      <c r="A38" s="160">
        <v>36</v>
      </c>
      <c r="B38" s="160" t="s">
        <v>63</v>
      </c>
      <c r="C38" s="160" t="s">
        <v>64</v>
      </c>
      <c r="E38" s="160">
        <v>1.19</v>
      </c>
    </row>
    <row r="39" spans="1:6" x14ac:dyDescent="0.3">
      <c r="A39" s="160">
        <v>37</v>
      </c>
      <c r="B39" s="160" t="s">
        <v>73</v>
      </c>
      <c r="C39" s="160" t="s">
        <v>74</v>
      </c>
      <c r="E39" s="160">
        <v>1.19</v>
      </c>
    </row>
    <row r="40" spans="1:6" x14ac:dyDescent="0.3">
      <c r="A40" s="160">
        <v>38</v>
      </c>
      <c r="B40" s="160" t="s">
        <v>82</v>
      </c>
      <c r="C40" s="160" t="s">
        <v>83</v>
      </c>
      <c r="E40" s="160">
        <v>1.19</v>
      </c>
    </row>
    <row r="41" spans="1:6" x14ac:dyDescent="0.3">
      <c r="A41" s="160">
        <v>39</v>
      </c>
      <c r="B41" s="160" t="s">
        <v>22</v>
      </c>
      <c r="C41" s="160" t="s">
        <v>23</v>
      </c>
      <c r="E41" s="160">
        <v>1.19</v>
      </c>
    </row>
    <row r="42" spans="1:6" x14ac:dyDescent="0.3">
      <c r="A42" s="160">
        <v>40</v>
      </c>
      <c r="B42" s="160" t="s">
        <v>49</v>
      </c>
      <c r="C42" s="160" t="s">
        <v>50</v>
      </c>
      <c r="E42" s="160">
        <v>1.19</v>
      </c>
    </row>
    <row r="43" spans="1:6" x14ac:dyDescent="0.3">
      <c r="A43" s="160">
        <v>41</v>
      </c>
      <c r="B43" s="160" t="s">
        <v>57</v>
      </c>
      <c r="C43" s="160" t="s">
        <v>58</v>
      </c>
      <c r="E43" s="160">
        <v>1.19</v>
      </c>
    </row>
    <row r="44" spans="1:6" x14ac:dyDescent="0.3">
      <c r="A44" s="160">
        <v>42</v>
      </c>
      <c r="B44" s="160" t="s">
        <v>55</v>
      </c>
      <c r="C44" s="160" t="s">
        <v>56</v>
      </c>
      <c r="E44" s="160">
        <v>1.19</v>
      </c>
    </row>
    <row r="45" spans="1:6" x14ac:dyDescent="0.3">
      <c r="A45" s="160">
        <v>43</v>
      </c>
      <c r="B45" s="160" t="s">
        <v>59</v>
      </c>
      <c r="C45" s="160" t="s">
        <v>60</v>
      </c>
      <c r="E45" s="160">
        <v>1.19</v>
      </c>
    </row>
    <row r="46" spans="1:6" x14ac:dyDescent="0.3">
      <c r="A46" s="160">
        <v>44</v>
      </c>
      <c r="B46" s="160" t="s">
        <v>51</v>
      </c>
      <c r="C46" s="160" t="s">
        <v>52</v>
      </c>
      <c r="E46" s="160">
        <v>1.19</v>
      </c>
    </row>
    <row r="47" spans="1:6" x14ac:dyDescent="0.3">
      <c r="A47" s="160">
        <v>45</v>
      </c>
      <c r="B47" s="160" t="s">
        <v>92</v>
      </c>
      <c r="C47" s="160" t="s">
        <v>93</v>
      </c>
      <c r="D47" s="160" t="s">
        <v>94</v>
      </c>
      <c r="E47" s="160">
        <v>1</v>
      </c>
      <c r="F47" s="160" t="s">
        <v>95</v>
      </c>
    </row>
  </sheetData>
  <sortState xmlns:xlrd2="http://schemas.microsoft.com/office/spreadsheetml/2017/richdata2" ref="B4:C46">
    <sortCondition ref="B4:B46"/>
  </sortState>
  <pageMargins left="0.7" right="0.7" top="0.75" bottom="0.75" header="0.3" footer="0.3"/>
  <pageSetup paperSize="9" orientation="portrait" verticalDpi="0" r:id="rId1"/>
  <headerFooter>
    <oddHeader>&amp;R&amp;"Calibri"&amp;10&amp;KFF0000КОНФІДЕНЦІЙНА ІНФОРМАЦІЯ&amp;1#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56FAF-05A9-4E6B-B6F5-5BD0B9FEA035}">
  <sheetPr codeName="Лист3">
    <pageSetUpPr fitToPage="1"/>
  </sheetPr>
  <dimension ref="A1:O248"/>
  <sheetViews>
    <sheetView showGridLines="0" topLeftCell="BY1" zoomScale="70" zoomScaleNormal="70" workbookViewId="0">
      <selection sqref="A1:BX1048576"/>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76" width="0" style="160" hidden="1" customWidth="1"/>
    <col min="77" max="16384" width="8.6640625" style="160"/>
  </cols>
  <sheetData>
    <row r="1" spans="1:15" x14ac:dyDescent="0.3">
      <c r="A1" s="160" t="s">
        <v>312</v>
      </c>
      <c r="B1" s="158" t="e">
        <f>((E1*POWER(1+(E2/12),E3)*(E2/12)))/(POWER(1+(E2/12),E3)-1)</f>
        <v>#VALUE!</v>
      </c>
      <c r="C1" s="159" t="e">
        <f>PMT(E2/12,E3,-E1)</f>
        <v>#VALUE!</v>
      </c>
      <c r="D1" s="159" t="s">
        <v>313</v>
      </c>
      <c r="E1" s="160" t="e">
        <f>'Платоспроможність боржника'!C135</f>
        <v>#VALUE!</v>
      </c>
      <c r="H1" s="160" t="s">
        <v>314</v>
      </c>
      <c r="J1" s="160">
        <f ca="1">TODAY()</f>
        <v>46181</v>
      </c>
      <c r="O1" s="160" t="s">
        <v>364</v>
      </c>
    </row>
    <row r="2" spans="1:15" x14ac:dyDescent="0.3">
      <c r="A2" s="160" t="s">
        <v>315</v>
      </c>
      <c r="B2" s="161" t="e">
        <f>E1*(E2/12)</f>
        <v>#VALUE!</v>
      </c>
      <c r="C2" s="162" t="e">
        <f>IPMT(E2/12,1,E3,-(E1))</f>
        <v>#VALUE!</v>
      </c>
      <c r="D2" s="162" t="s">
        <v>316</v>
      </c>
      <c r="E2" s="160" t="str">
        <f>'Платоспроможність боржника'!H6</f>
        <v/>
      </c>
      <c r="F2" s="160" t="s">
        <v>317</v>
      </c>
      <c r="G2" s="160" t="s">
        <v>353</v>
      </c>
      <c r="H2" s="160" t="s">
        <v>318</v>
      </c>
    </row>
    <row r="3" spans="1:15" x14ac:dyDescent="0.3">
      <c r="A3" s="160" t="s">
        <v>319</v>
      </c>
      <c r="B3" s="160" t="e">
        <f>B1-B2</f>
        <v>#VALUE!</v>
      </c>
      <c r="C3" s="163" t="e">
        <f>PPMT(E2/12,1,E3,-E1)</f>
        <v>#VALUE!</v>
      </c>
      <c r="D3" s="163" t="s">
        <v>320</v>
      </c>
      <c r="E3" s="160">
        <f>'Платоспроможність боржника'!H5</f>
        <v>60</v>
      </c>
      <c r="H3" s="160" t="s">
        <v>321</v>
      </c>
      <c r="I3" s="160" t="s">
        <v>322</v>
      </c>
      <c r="J3" s="160" t="s">
        <v>323</v>
      </c>
      <c r="K3" s="160" t="s">
        <v>324</v>
      </c>
      <c r="L3" s="160" t="s">
        <v>325</v>
      </c>
      <c r="M3" s="160" t="s">
        <v>326</v>
      </c>
      <c r="O3" s="160" t="s">
        <v>327</v>
      </c>
    </row>
    <row r="4" spans="1:15" x14ac:dyDescent="0.3">
      <c r="A4" s="160" t="s">
        <v>328</v>
      </c>
      <c r="C4" s="163">
        <f ca="1">TODAY()</f>
        <v>46181</v>
      </c>
      <c r="D4" s="163" t="s">
        <v>329</v>
      </c>
      <c r="E4" s="160" t="e">
        <f>'Платоспроможність боржника'!H4/100*E1</f>
        <v>#VALUE!</v>
      </c>
      <c r="F4" s="160" t="s">
        <v>330</v>
      </c>
      <c r="H4" s="160">
        <v>0</v>
      </c>
      <c r="I4" s="160" t="str">
        <f>IF($E$5="EUR","Євро",IF($E$5="USD","дол. США","грн."))</f>
        <v>грн.</v>
      </c>
      <c r="J4" s="160" t="str">
        <f>IF($E$5="EUR","Євро",IF($E$5="USD","дол. США","грн."))</f>
        <v>грн.</v>
      </c>
      <c r="K4" s="160" t="str">
        <f>IF($E$5="EUR","Євро",IF($E$5="USD","дол. США","грн."))</f>
        <v>грн.</v>
      </c>
      <c r="L4" s="160" t="s">
        <v>331</v>
      </c>
      <c r="M4" s="160" t="str">
        <f>IF($E$5="EUR","Євро",IF($E$5="USD","дол. США","грн."))</f>
        <v>грн.</v>
      </c>
      <c r="N4" s="160" t="s">
        <v>331</v>
      </c>
      <c r="O4" s="160" t="e">
        <f>E1</f>
        <v>#VALUE!</v>
      </c>
    </row>
    <row r="5" spans="1:15" x14ac:dyDescent="0.3">
      <c r="A5" s="160" t="s">
        <v>332</v>
      </c>
      <c r="B5" s="160">
        <v>1</v>
      </c>
      <c r="C5" s="163">
        <v>1</v>
      </c>
      <c r="D5" s="163" t="s">
        <v>333</v>
      </c>
      <c r="E5" s="160" t="s">
        <v>338</v>
      </c>
      <c r="F5" s="160" t="str">
        <f ca="1">IF(G5="Всього:","",IF(AND(G5&gt;$B$9,G5&lt;=$B$10),$C$16,IF(AND(G5&gt;$B$9,G5&lt;=$B$11),$D$16,IF(AND(G5&gt;$B$10,G5&lt;=$B$14),$E$16,$B$16))))</f>
        <v/>
      </c>
      <c r="G5" s="160">
        <f ca="1">IF(AND(DAY(C4)&lt;=15,$B$7&gt;DAY(C4)),DATE(YEAR(C4),MONTH(C4),IF($B$7&lt;&gt;"",DAY(IF($B$7&gt;DAY(EOMONTH(C4,0)),EOMONTH(C4,0),$B$7)),DAY(1))),DATE(YEAR(C4),MONTH(C4)+1,IF($B$7&lt;&gt;"",DAY(IF($B$7&gt;DAY(EOMONTH(C4,1)),EOMONTH(C4,1),$B$7)),DAY(1))))</f>
        <v>46204</v>
      </c>
      <c r="H5" s="160">
        <f ca="1">IF(H4&gt;$E$8,"",H4+1)</f>
        <v>1</v>
      </c>
      <c r="I5" s="160">
        <f ca="1">IF($G5="Всього:",SUM($I$4:I4),IF(AND(DAY($C$4)&gt;=15,H5=1),K5+L5,$C$32))</f>
        <v>3804</v>
      </c>
      <c r="J5" s="160" t="e">
        <f ca="1">IF($G5="Всього:",SUM($J$4:J4),IF(DAY(C4)&gt;15,0,IF(I5-SUM(K5:L5)&lt;0,0,I5-SUM(K5:L5))))</f>
        <v>#VALUE!</v>
      </c>
      <c r="K5" s="160" t="e">
        <f ca="1">$E$1*F5*(G5-$C$4)/36000</f>
        <v>#VALUE!</v>
      </c>
      <c r="L5" s="160" t="e">
        <f>$E$4</f>
        <v>#VALUE!</v>
      </c>
      <c r="M5" s="160" t="e">
        <f ca="1">IF($E$5="UAH",J5+L5+K5,J5+K5)</f>
        <v>#VALUE!</v>
      </c>
      <c r="N5" s="160" t="str">
        <f>IF($E$5="UAH","",L5)</f>
        <v/>
      </c>
      <c r="O5" s="160" t="e">
        <f t="shared" ref="O5:O68" ca="1" si="0">O4-J5</f>
        <v>#VALUE!</v>
      </c>
    </row>
    <row r="6" spans="1:15" x14ac:dyDescent="0.3">
      <c r="A6" s="160" t="s">
        <v>334</v>
      </c>
      <c r="C6" s="163" t="e">
        <f>IF(E5="EUR",C1*E7,IF(E5="USD",C1*E6,C1))</f>
        <v>#VALUE!</v>
      </c>
      <c r="D6" s="163"/>
      <c r="F6" s="160" t="str">
        <f t="shared" ref="F6:F69" ca="1" si="1">IF(G6="Всього:","",IF(AND(G6&gt;$B$9,G6&lt;=$B$10),$C$16,IF(AND(G6&gt;$B$9,G6&lt;=$B$11),$D$16,IF(AND(G6&gt;$B$10,G6&lt;=$B$14),$E$16,$B$16))))</f>
        <v/>
      </c>
      <c r="G6" s="160">
        <f ca="1">IF(H5=$E$8,"Всього:",IF($E$3+1=H6,$B$14,DATE(YEAR(G5),MONTH(G5)+1,IF($B$7&lt;&gt;"",DAY(IF($B$7&gt;DAY(EOMONTH(G5,1)),EOMONTH(G5,1),$B$7)),DAY(1)))))</f>
        <v>46235</v>
      </c>
      <c r="H6" s="160">
        <f t="shared" ref="H6:H69" ca="1" si="2">IF(H5&gt;$E$8,"",H5+1)</f>
        <v>2</v>
      </c>
      <c r="I6" s="160">
        <f ca="1">IF($G6="Всього:",SUM($I$4:I5),IF(AND(DAY($C$4)&gt;=15,H6=1),K6+L6,$C$32))</f>
        <v>3804</v>
      </c>
      <c r="J6" s="160" t="e">
        <f ca="1">IF($G6="Всього:",SUM($J$4:J5),IF(I6-SUM(K6:L6)&lt;0,0,I6-SUM(K6:L6)))</f>
        <v>#VALUE!</v>
      </c>
      <c r="K6" s="160" t="e">
        <f ca="1">IF(G6="Всього:",SUM($K$5:K5),IF(F6&lt;&gt;F5,(F6*O5/36000*(G6-CONCATENATE(DAY($C$4),".",MONTH(G5),".",YEAR(G5)))+(F5*O5/36000*(CONCATENATE(DAY($C$4),".",MONTH(G5),".",YEAR(G5))-G5))),F6*O5/36000*(G6-G5)))</f>
        <v>#VALUE!</v>
      </c>
      <c r="L6" s="160" t="e">
        <f ca="1">IF(G6="Всього:",SUM($L$5:L5),$E$4)</f>
        <v>#VALUE!</v>
      </c>
      <c r="M6" s="160" t="e">
        <f ca="1">IF(G6="Всього:",SUM($M$5:M5),IF($E$5="UAH",J6+L6+K6,J6+K6))</f>
        <v>#VALUE!</v>
      </c>
      <c r="N6" s="160" t="str">
        <f ca="1">IF(G6="Всього:",SUM($N$4:N5),IF($E$5="UAH","",L6))</f>
        <v/>
      </c>
      <c r="O6" s="160" t="e">
        <f t="shared" ca="1" si="0"/>
        <v>#VALUE!</v>
      </c>
    </row>
    <row r="7" spans="1:15" x14ac:dyDescent="0.3">
      <c r="A7" s="160" t="s">
        <v>341</v>
      </c>
      <c r="B7" s="160">
        <v>1</v>
      </c>
      <c r="C7" s="163"/>
      <c r="D7" s="163"/>
      <c r="F7" s="160" t="str">
        <f t="shared" ca="1" si="1"/>
        <v/>
      </c>
      <c r="G7" s="160">
        <f t="shared" ref="G7:G70" ca="1" si="3">IF(H6=$E$8,"Всього:",IF($E$3+1=H7,$B$14,DATE(YEAR(G6),MONTH(G6)+1,IF($B$7&lt;&gt;"",DAY(IF($B$7&gt;DAY(EOMONTH(G6,1)),EOMONTH(G6,1),$B$7)),DAY(1)))))</f>
        <v>46266</v>
      </c>
      <c r="H7" s="160">
        <f t="shared" ca="1" si="2"/>
        <v>3</v>
      </c>
      <c r="I7" s="160">
        <f ca="1">IF($G7="Всього:",SUM($I$4:I6),IF(AND(DAY($C$4)&gt;=15,H7=1),K7+L7,$C$32))</f>
        <v>3804</v>
      </c>
      <c r="J7" s="160" t="e">
        <f ca="1">IF($G7="Всього:",SUM($J$4:J6),IF(I7-SUM(K7:L7)&lt;0,0,I7-SUM(K7:L7)))</f>
        <v>#VALUE!</v>
      </c>
      <c r="K7" s="160" t="e">
        <f ca="1">IF(G7="Всього:",SUM($K$5:K6),IF(F7&lt;&gt;F6,(F7*O6/36000*(G7-CONCATENATE(DAY($C$4),".",MONTH(G6),".",YEAR(G6)))+(F6*O6/36000*(CONCATENATE(DAY($C$4),".",MONTH(G6),".",YEAR(G6))-G6))),F7*O6/36000*(G7-G6)))</f>
        <v>#VALUE!</v>
      </c>
      <c r="L7" s="160" t="e">
        <f ca="1">IF(G7="Всього:",SUM($L$5:L6),$E$4)</f>
        <v>#VALUE!</v>
      </c>
      <c r="M7" s="160" t="e">
        <f ca="1">IF(G7="Всього:",SUM($M$5:M6),IF($E$5="UAH",J7+L7+K7,J7+K7))</f>
        <v>#VALUE!</v>
      </c>
      <c r="N7" s="160" t="str">
        <f ca="1">IF(G7="Всього:",SUM($N$4:N6),IF($E$5="UAH","",L7))</f>
        <v/>
      </c>
      <c r="O7" s="160" t="e">
        <f t="shared" ca="1" si="0"/>
        <v>#VALUE!</v>
      </c>
    </row>
    <row r="8" spans="1:15" x14ac:dyDescent="0.3">
      <c r="A8" s="160" t="s">
        <v>354</v>
      </c>
      <c r="B8" s="160">
        <f ca="1">C4</f>
        <v>46181</v>
      </c>
      <c r="C8" s="163"/>
      <c r="D8" s="163" t="s">
        <v>343</v>
      </c>
      <c r="E8" s="160">
        <f ca="1">IF(DAY(C4)&gt;=15,E3+1,E3+1)</f>
        <v>61</v>
      </c>
      <c r="F8" s="160" t="str">
        <f t="shared" ca="1" si="1"/>
        <v/>
      </c>
      <c r="G8" s="160">
        <f t="shared" ca="1" si="3"/>
        <v>46296</v>
      </c>
      <c r="H8" s="160">
        <f t="shared" ca="1" si="2"/>
        <v>4</v>
      </c>
      <c r="I8" s="160">
        <f ca="1">IF($G8="Всього:",SUM($I$4:I7),IF(AND(DAY($C$4)&gt;=15,H8=1),K8+L8,$C$32))</f>
        <v>3804</v>
      </c>
      <c r="J8" s="160" t="e">
        <f ca="1">IF($G8="Всього:",SUM($J$4:J7),IF(I8-SUM(K8:L8)&lt;0,0,I8-SUM(K8:L8)))</f>
        <v>#VALUE!</v>
      </c>
      <c r="K8" s="160" t="e">
        <f ca="1">IF(G8="Всього:",SUM($K$5:K7),IF(F8&lt;&gt;F7,(F8*O7/36000*(G8-CONCATENATE(DAY($C$4),".",MONTH(G7),".",YEAR(G7)))+(F7*O7/36000*(CONCATENATE(DAY($C$4),".",MONTH(G7),".",YEAR(G7))-G7))),F8*O7/36000*(G8-G7)))</f>
        <v>#VALUE!</v>
      </c>
      <c r="L8" s="160" t="e">
        <f ca="1">IF(G8="Всього:",SUM($L$5:L7),$E$4)</f>
        <v>#VALUE!</v>
      </c>
      <c r="M8" s="160" t="e">
        <f ca="1">IF(G8="Всього:",SUM($M$5:M7),IF($E$5="UAH",J8+L8+K8,J8+K8))</f>
        <v>#VALUE!</v>
      </c>
      <c r="N8" s="160" t="str">
        <f ca="1">IF(G8="Всього:",SUM($N$4:N7),IF($E$5="UAH","",L8))</f>
        <v/>
      </c>
      <c r="O8" s="160" t="e">
        <f t="shared" ca="1" si="0"/>
        <v>#VALUE!</v>
      </c>
    </row>
    <row r="9" spans="1:15" x14ac:dyDescent="0.3">
      <c r="A9" s="160" t="s">
        <v>355</v>
      </c>
      <c r="B9" s="160">
        <f ca="1">IF('Платоспроможність боржника'!H7="",B14,EDATE($C$4,'Платоспроможність боржника'!$H$7))</f>
        <v>48006</v>
      </c>
      <c r="C9" s="163"/>
      <c r="D9" s="163"/>
      <c r="F9" s="160" t="str">
        <f t="shared" ca="1" si="1"/>
        <v/>
      </c>
      <c r="G9" s="160">
        <f t="shared" ca="1" si="3"/>
        <v>46327</v>
      </c>
      <c r="H9" s="160">
        <f t="shared" ca="1" si="2"/>
        <v>5</v>
      </c>
      <c r="I9" s="160">
        <f ca="1">IF($G9="Всього:",SUM($I$4:I8),IF(AND(DAY($C$4)&gt;=15,H9=1),K9+L9,$C$32))</f>
        <v>3804</v>
      </c>
      <c r="J9" s="160" t="e">
        <f ca="1">IF($G9="Всього:",SUM($J$4:J8),IF(I9-SUM(K9:L9)&lt;0,0,I9-SUM(K9:L9)))</f>
        <v>#VALUE!</v>
      </c>
      <c r="K9" s="160" t="e">
        <f ca="1">IF(G9="Всього:",SUM($K$5:K8),IF(F9&lt;&gt;F8,(F9*O8/36000*(G9-CONCATENATE(DAY($C$4),".",MONTH(G8),".",YEAR(G8)))+(F8*O8/36000*(CONCATENATE(DAY($C$4),".",MONTH(G8),".",YEAR(G8))-G8))),F9*O8/36000*(G9-G8)))</f>
        <v>#VALUE!</v>
      </c>
      <c r="L9" s="160" t="e">
        <f ca="1">IF(G9="Всього:",SUM($L$5:L8),$E$4)</f>
        <v>#VALUE!</v>
      </c>
      <c r="M9" s="160" t="e">
        <f ca="1">IF(G9="Всього:",SUM($M$5:M8),IF($E$5="UAH",J9+L9+K9,J9+K9))</f>
        <v>#VALUE!</v>
      </c>
      <c r="N9" s="160" t="str">
        <f ca="1">IF(G9="Всього:",SUM($N$4:N8),IF($E$5="UAH","",L9))</f>
        <v/>
      </c>
      <c r="O9" s="160" t="e">
        <f t="shared" ca="1" si="0"/>
        <v>#VALUE!</v>
      </c>
    </row>
    <row r="10" spans="1:15" x14ac:dyDescent="0.3">
      <c r="A10" s="160" t="s">
        <v>356</v>
      </c>
      <c r="B10" s="160">
        <f ca="1">IF('Платоспроможність боржника'!I7="",B14,EDATE($C$4,'Платоспроможність боржника'!$H$7+'Платоспроможність боржника'!$I$7))</f>
        <v>48006</v>
      </c>
      <c r="C10" s="163"/>
      <c r="D10" s="163"/>
      <c r="F10" s="160" t="str">
        <f t="shared" ca="1" si="1"/>
        <v/>
      </c>
      <c r="G10" s="160">
        <f t="shared" ca="1" si="3"/>
        <v>46357</v>
      </c>
      <c r="H10" s="160">
        <f t="shared" ca="1" si="2"/>
        <v>6</v>
      </c>
      <c r="I10" s="160">
        <f ca="1">IF($G10="Всього:",SUM($I$4:I9),IF(AND(DAY($C$4)&gt;=15,H10=1),K10+L10,$C$32))</f>
        <v>3804</v>
      </c>
      <c r="J10" s="160" t="e">
        <f ca="1">IF($G10="Всього:",SUM($J$4:J9),IF(I10-SUM(K10:L10)&lt;0,0,I10-SUM(K10:L10)))</f>
        <v>#VALUE!</v>
      </c>
      <c r="K10" s="160" t="e">
        <f ca="1">IF(G10="Всього:",SUM($K$5:K9),IF(F10&lt;&gt;F9,(F10*O9/36000*(G10-CONCATENATE(DAY($C$4),".",MONTH(G9),".",YEAR(G9)))+(F9*O9/36000*(CONCATENATE(DAY($C$4),".",MONTH(G9),".",YEAR(G9))-G9))),F10*O9/36000*(G10-G9)))</f>
        <v>#VALUE!</v>
      </c>
      <c r="L10" s="160" t="e">
        <f ca="1">IF(G10="Всього:",SUM($L$5:L9),$E$4)</f>
        <v>#VALUE!</v>
      </c>
      <c r="M10" s="160" t="e">
        <f ca="1">IF(G10="Всього:",SUM($M$5:M9),IF($E$5="UAH",J10+L10+K10,J10+K10))</f>
        <v>#VALUE!</v>
      </c>
      <c r="N10" s="160" t="str">
        <f ca="1">IF(G10="Всього:",SUM($N$4:N9),IF($E$5="UAH","",L10))</f>
        <v/>
      </c>
      <c r="O10" s="160" t="e">
        <f t="shared" ca="1" si="0"/>
        <v>#VALUE!</v>
      </c>
    </row>
    <row r="11" spans="1:15" x14ac:dyDescent="0.3">
      <c r="A11" s="160" t="s">
        <v>357</v>
      </c>
      <c r="B11" s="160">
        <f ca="1">IF('Платоспроможність боржника'!J7="",B14,EDATE($C$4,'Платоспроможність боржника'!$H$7+'Платоспроможність боржника'!$I$7+'Платоспроможність боржника'!$J$7))</f>
        <v>48006</v>
      </c>
      <c r="F11" s="160" t="str">
        <f t="shared" ca="1" si="1"/>
        <v/>
      </c>
      <c r="G11" s="160">
        <f t="shared" ca="1" si="3"/>
        <v>46388</v>
      </c>
      <c r="H11" s="160">
        <f t="shared" ca="1" si="2"/>
        <v>7</v>
      </c>
      <c r="I11" s="160">
        <f ca="1">IF($G11="Всього:",SUM($I$4:I10),IF(AND(DAY($C$4)&gt;=15,H11=1),K11+L11,$C$32))</f>
        <v>3804</v>
      </c>
      <c r="J11" s="160" t="e">
        <f ca="1">IF($G11="Всього:",SUM($J$4:J10),IF(I11-SUM(K11:L11)&lt;0,0,I11-SUM(K11:L11)))</f>
        <v>#VALUE!</v>
      </c>
      <c r="K11" s="160" t="e">
        <f ca="1">IF(G11="Всього:",SUM($K$5:K10),IF(F11&lt;&gt;F10,(F11*O10/36000*(G11-CONCATENATE(DAY($C$4),".",MONTH(G10),".",YEAR(G10)))+(F10*O10/36000*(CONCATENATE(DAY($C$4),".",MONTH(G10),".",YEAR(G10))-G10))),F11*O10/36000*(G11-G10)))</f>
        <v>#VALUE!</v>
      </c>
      <c r="L11" s="160" t="e">
        <f ca="1">IF(G11="Всього:",SUM($L$5:L10),$E$4)</f>
        <v>#VALUE!</v>
      </c>
      <c r="M11" s="160" t="e">
        <f ca="1">IF(G11="Всього:",SUM($M$5:M10),IF($E$5="UAH",J11+L11+K11,J11+K11))</f>
        <v>#VALUE!</v>
      </c>
      <c r="N11" s="160" t="str">
        <f ca="1">IF(G11="Всього:",SUM($N$4:N10),IF($E$5="UAH","",L11))</f>
        <v/>
      </c>
      <c r="O11" s="160" t="e">
        <f t="shared" ca="1" si="0"/>
        <v>#VALUE!</v>
      </c>
    </row>
    <row r="12" spans="1:15" x14ac:dyDescent="0.3">
      <c r="B12" s="161"/>
      <c r="C12" s="161"/>
      <c r="F12" s="160" t="str">
        <f t="shared" ca="1" si="1"/>
        <v/>
      </c>
      <c r="G12" s="160">
        <f t="shared" ca="1" si="3"/>
        <v>46419</v>
      </c>
      <c r="H12" s="160">
        <f t="shared" ca="1" si="2"/>
        <v>8</v>
      </c>
      <c r="I12" s="160">
        <f ca="1">IF($G12="Всього:",SUM($I$4:I11),IF(AND(DAY($C$4)&gt;=15,H12=1),K12+L12,$C$32))</f>
        <v>3804</v>
      </c>
      <c r="J12" s="160" t="e">
        <f ca="1">IF($G12="Всього:",SUM($J$4:J11),IF(I12-SUM(K12:L12)&lt;0,0,I12-SUM(K12:L12)))</f>
        <v>#VALUE!</v>
      </c>
      <c r="K12" s="160" t="e">
        <f ca="1">IF(G12="Всього:",SUM($K$5:K11),IF(F12&lt;&gt;F11,(F12*O11/36000*(G12-CONCATENATE(DAY($C$4),".",MONTH(G11),".",YEAR(G11)))+(F11*O11/36000*(CONCATENATE(DAY($C$4),".",MONTH(G11),".",YEAR(G11))-G11))),F12*O11/36000*(G12-G11)))</f>
        <v>#VALUE!</v>
      </c>
      <c r="L12" s="160" t="e">
        <f ca="1">IF(G12="Всього:",SUM($L$5:L11),$E$4)</f>
        <v>#VALUE!</v>
      </c>
      <c r="M12" s="160" t="e">
        <f ca="1">IF(G12="Всього:",SUM($M$5:M11),IF($E$5="UAH",J12+L12+K12,J12+K12))</f>
        <v>#VALUE!</v>
      </c>
      <c r="N12" s="160" t="str">
        <f ca="1">IF(G12="Всього:",SUM($N$4:N11),IF($E$5="UAH","",L12))</f>
        <v/>
      </c>
      <c r="O12" s="160" t="e">
        <f t="shared" ca="1" si="0"/>
        <v>#VALUE!</v>
      </c>
    </row>
    <row r="13" spans="1:15" x14ac:dyDescent="0.3">
      <c r="C13" s="163"/>
      <c r="F13" s="160" t="str">
        <f t="shared" ca="1" si="1"/>
        <v/>
      </c>
      <c r="G13" s="160">
        <f t="shared" ca="1" si="3"/>
        <v>46447</v>
      </c>
      <c r="H13" s="160">
        <f t="shared" ca="1" si="2"/>
        <v>9</v>
      </c>
      <c r="I13" s="160">
        <f ca="1">IF($G13="Всього:",SUM($I$4:I12),IF(AND(DAY($C$4)&gt;=15,H13=1),K13+L13,$C$32))</f>
        <v>3804</v>
      </c>
      <c r="J13" s="160" t="e">
        <f ca="1">IF($G13="Всього:",SUM($J$4:J12),IF(I13-SUM(K13:L13)&lt;0,0,I13-SUM(K13:L13)))</f>
        <v>#VALUE!</v>
      </c>
      <c r="K13" s="160" t="e">
        <f ca="1">IF(G13="Всього:",SUM($K$5:K12),IF(F13&lt;&gt;F12,(F13*O12/36000*(G13-CONCATENATE(DAY($C$4),".",MONTH(G12),".",YEAR(G12)))+(F12*O12/36000*(CONCATENATE(DAY($C$4),".",MONTH(G12),".",YEAR(G12))-G12))),F13*O12/36000*(G13-G12)))</f>
        <v>#VALUE!</v>
      </c>
      <c r="L13" s="160" t="e">
        <f ca="1">IF(G13="Всього:",SUM($L$5:L12),$E$4)</f>
        <v>#VALUE!</v>
      </c>
      <c r="M13" s="160" t="e">
        <f ca="1">IF(G13="Всього:",SUM($M$5:M12),IF($E$5="UAH",J13+L13+K13,J13+K13))</f>
        <v>#VALUE!</v>
      </c>
      <c r="N13" s="160" t="str">
        <f ca="1">IF(G13="Всього:",SUM($N$4:N12),IF($E$5="UAH","",L13))</f>
        <v/>
      </c>
      <c r="O13" s="160" t="e">
        <f t="shared" ca="1" si="0"/>
        <v>#VALUE!</v>
      </c>
    </row>
    <row r="14" spans="1:15" x14ac:dyDescent="0.3">
      <c r="A14" s="160" t="s">
        <v>335</v>
      </c>
      <c r="B14" s="160">
        <f ca="1">EDATE($C$4,$E$3)-1</f>
        <v>48006</v>
      </c>
      <c r="C14" s="163"/>
      <c r="F14" s="160" t="str">
        <f t="shared" ca="1" si="1"/>
        <v/>
      </c>
      <c r="G14" s="160">
        <f t="shared" ca="1" si="3"/>
        <v>46478</v>
      </c>
      <c r="H14" s="160">
        <f t="shared" ca="1" si="2"/>
        <v>10</v>
      </c>
      <c r="I14" s="160">
        <f ca="1">IF($G14="Всього:",SUM($I$4:I13),IF(AND(DAY($C$4)&gt;=15,H14=1),K14+L14,$C$32))</f>
        <v>3804</v>
      </c>
      <c r="J14" s="160" t="e">
        <f ca="1">IF($G14="Всього:",SUM($J$4:J13),IF(I14-SUM(K14:L14)&lt;0,0,I14-SUM(K14:L14)))</f>
        <v>#VALUE!</v>
      </c>
      <c r="K14" s="160" t="e">
        <f ca="1">IF(G14="Всього:",SUM($K$5:K13),IF(F14&lt;&gt;F13,(F14*O13/36000*(G14-CONCATENATE(DAY($C$4),".",MONTH(G13),".",YEAR(G13)))+(F13*O13/36000*(CONCATENATE(DAY($C$4),".",MONTH(G13),".",YEAR(G13))-G13))),F14*O13/36000*(G14-G13)))</f>
        <v>#VALUE!</v>
      </c>
      <c r="L14" s="160" t="e">
        <f ca="1">IF(G14="Всього:",SUM($L$5:L13),$E$4)</f>
        <v>#VALUE!</v>
      </c>
      <c r="M14" s="160" t="e">
        <f ca="1">IF(G14="Всього:",SUM($M$5:M13),IF($E$5="UAH",J14+L14+K14,J14+K14))</f>
        <v>#VALUE!</v>
      </c>
      <c r="N14" s="160" t="str">
        <f ca="1">IF(G14="Всього:",SUM($N$4:N13),IF($E$5="UAH","",L14))</f>
        <v/>
      </c>
      <c r="O14" s="160" t="e">
        <f t="shared" ca="1" si="0"/>
        <v>#VALUE!</v>
      </c>
    </row>
    <row r="15" spans="1:15" x14ac:dyDescent="0.3">
      <c r="C15" s="163"/>
      <c r="F15" s="160" t="str">
        <f t="shared" ca="1" si="1"/>
        <v/>
      </c>
      <c r="G15" s="160">
        <f t="shared" ca="1" si="3"/>
        <v>46508</v>
      </c>
      <c r="H15" s="160">
        <f t="shared" ca="1" si="2"/>
        <v>11</v>
      </c>
      <c r="I15" s="160">
        <f ca="1">IF($G15="Всього:",SUM($I$4:I14),IF(AND(DAY($C$4)&gt;=15,H15=1),K15+L15,$C$32))</f>
        <v>3804</v>
      </c>
      <c r="J15" s="160" t="e">
        <f ca="1">IF($G15="Всього:",SUM($J$4:J14),IF(I15-SUM(K15:L15)&lt;0,0,I15-SUM(K15:L15)))</f>
        <v>#VALUE!</v>
      </c>
      <c r="K15" s="160" t="e">
        <f ca="1">IF(G15="Всього:",SUM($K$5:K14),IF(F15&lt;&gt;F14,(F15*O14/36000*(G15-CONCATENATE(DAY($C$4),".",MONTH(G14),".",YEAR(G14)))+(F14*O14/36000*(CONCATENATE(DAY($C$4),".",MONTH(G14),".",YEAR(G14))-G14))),F15*O14/36000*(G15-G14)))</f>
        <v>#VALUE!</v>
      </c>
      <c r="L15" s="160" t="e">
        <f ca="1">IF(G15="Всього:",SUM($L$5:L14),$E$4)</f>
        <v>#VALUE!</v>
      </c>
      <c r="M15" s="160" t="e">
        <f ca="1">IF(G15="Всього:",SUM($M$5:M14),IF($E$5="UAH",J15+L15+K15,J15+K15))</f>
        <v>#VALUE!</v>
      </c>
      <c r="N15" s="160" t="str">
        <f ca="1">IF(G15="Всього:",SUM($N$4:N14),IF($E$5="UAH","",L15))</f>
        <v/>
      </c>
      <c r="O15" s="160" t="e">
        <f t="shared" ca="1" si="0"/>
        <v>#VALUE!</v>
      </c>
    </row>
    <row r="16" spans="1:15" x14ac:dyDescent="0.3">
      <c r="A16" s="160" t="s">
        <v>339</v>
      </c>
      <c r="B16" s="160" t="str">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
      </c>
      <c r="C16" s="163">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160">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160">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160" t="str">
        <f t="shared" ca="1" si="1"/>
        <v/>
      </c>
      <c r="G16" s="160">
        <f t="shared" ca="1" si="3"/>
        <v>46539</v>
      </c>
      <c r="H16" s="160">
        <f t="shared" ca="1" si="2"/>
        <v>12</v>
      </c>
      <c r="I16" s="160">
        <f ca="1">IF($G16="Всього:",SUM($I$4:I15),IF(AND(DAY($C$4)&gt;=15,H16=1),K16+L16,$C$32))</f>
        <v>3804</v>
      </c>
      <c r="J16" s="160" t="e">
        <f ca="1">IF($G16="Всього:",SUM($J$4:J15),IF(I16-SUM(K16:L16)&lt;0,0,I16-SUM(K16:L16)))</f>
        <v>#VALUE!</v>
      </c>
      <c r="K16" s="160" t="e">
        <f ca="1">IF(G16="Всього:",SUM($K$5:K15),IF(F16&lt;&gt;F15,(F16*O15/36000*(G16-CONCATENATE(DAY($C$4),".",MONTH(G15),".",YEAR(G15)))+(F15*O15/36000*(CONCATENATE(DAY($C$4),".",MONTH(G15),".",YEAR(G15))-G15))),F16*O15/36000*(G16-G15)))</f>
        <v>#VALUE!</v>
      </c>
      <c r="L16" s="160" t="e">
        <f ca="1">IF(G16="Всього:",SUM($L$5:L15),$E$4)</f>
        <v>#VALUE!</v>
      </c>
      <c r="M16" s="160" t="e">
        <f ca="1">IF(G16="Всього:",SUM($M$5:M15),IF($E$5="UAH",J16+L16+K16,J16+K16))</f>
        <v>#VALUE!</v>
      </c>
      <c r="N16" s="160" t="str">
        <f ca="1">IF(G16="Всього:",SUM($N$4:N15),IF($E$5="UAH","",L16))</f>
        <v/>
      </c>
      <c r="O16" s="160" t="e">
        <f t="shared" ca="1" si="0"/>
        <v>#VALUE!</v>
      </c>
    </row>
    <row r="17" spans="1:15" x14ac:dyDescent="0.3">
      <c r="C17" s="163"/>
      <c r="F17" s="160" t="str">
        <f t="shared" ca="1" si="1"/>
        <v/>
      </c>
      <c r="G17" s="160">
        <f t="shared" ca="1" si="3"/>
        <v>46569</v>
      </c>
      <c r="H17" s="160">
        <f t="shared" ca="1" si="2"/>
        <v>13</v>
      </c>
      <c r="I17" s="160">
        <f ca="1">IF($G17="Всього:",SUM($I$4:I16),IF(AND(DAY($C$4)&gt;=15,H17=1),K17+L17,$C$32))</f>
        <v>3804</v>
      </c>
      <c r="J17" s="160" t="e">
        <f ca="1">IF($G17="Всього:",SUM($J$4:J16),IF(I17-SUM(K17:L17)&lt;0,0,I17-SUM(K17:L17)))</f>
        <v>#VALUE!</v>
      </c>
      <c r="K17" s="160" t="e">
        <f ca="1">IF(G17="Всього:",SUM($K$5:K16),IF(F17&lt;&gt;F16,(F17*O16/36000*(G17-CONCATENATE(DAY($C$4),".",MONTH(G16),".",YEAR(G16)))+(F16*O16/36000*(CONCATENATE(DAY($C$4),".",MONTH(G16),".",YEAR(G16))-G16))),F17*O16/36000*(G17-G16)))</f>
        <v>#VALUE!</v>
      </c>
      <c r="L17" s="160" t="e">
        <f ca="1">IF(G17="Всього:",SUM($L$5:L16),$E$4)</f>
        <v>#VALUE!</v>
      </c>
      <c r="M17" s="160" t="e">
        <f ca="1">IF(G17="Всього:",SUM($M$5:M16),IF($E$5="UAH",J17+L17+K17,J17+K17))</f>
        <v>#VALUE!</v>
      </c>
      <c r="N17" s="160" t="str">
        <f ca="1">IF(G17="Всього:",SUM($N$4:N16),IF($E$5="UAH","",L17))</f>
        <v/>
      </c>
      <c r="O17" s="160" t="e">
        <f t="shared" ca="1" si="0"/>
        <v>#VALUE!</v>
      </c>
    </row>
    <row r="18" spans="1:15" x14ac:dyDescent="0.3">
      <c r="F18" s="160" t="str">
        <f t="shared" ca="1" si="1"/>
        <v/>
      </c>
      <c r="G18" s="160">
        <f t="shared" ca="1" si="3"/>
        <v>46600</v>
      </c>
      <c r="H18" s="160">
        <f t="shared" ca="1" si="2"/>
        <v>14</v>
      </c>
      <c r="I18" s="160">
        <f ca="1">IF($G18="Всього:",SUM($I$4:I17),IF(AND(DAY($C$4)&gt;=15,H18=1),K18+L18,$C$32))</f>
        <v>3804</v>
      </c>
      <c r="J18" s="160" t="e">
        <f ca="1">IF($G18="Всього:",SUM($J$4:J17),IF(I18-SUM(K18:L18)&lt;0,0,I18-SUM(K18:L18)))</f>
        <v>#VALUE!</v>
      </c>
      <c r="K18" s="160" t="e">
        <f ca="1">IF(G18="Всього:",SUM($K$5:K17),IF(F18&lt;&gt;F17,(F18*O17/36000*(G18-CONCATENATE(DAY($C$4),".",MONTH(G17),".",YEAR(G17)))+(F17*O17/36000*(CONCATENATE(DAY($C$4),".",MONTH(G17),".",YEAR(G17))-G17))),F18*O17/36000*(G18-G17)))</f>
        <v>#VALUE!</v>
      </c>
      <c r="L18" s="160" t="e">
        <f ca="1">IF(G18="Всього:",SUM($L$5:L17),$E$4)</f>
        <v>#VALUE!</v>
      </c>
      <c r="M18" s="160" t="e">
        <f ca="1">IF(G18="Всього:",SUM($M$5:M17),IF($E$5="UAH",J18+L18+K18,J18+K18))</f>
        <v>#VALUE!</v>
      </c>
      <c r="N18" s="160" t="str">
        <f ca="1">IF(G18="Всього:",SUM($N$4:N17),IF($E$5="UAH","",L18))</f>
        <v/>
      </c>
      <c r="O18" s="160" t="e">
        <f t="shared" ca="1" si="0"/>
        <v>#VALUE!</v>
      </c>
    </row>
    <row r="19" spans="1:15" x14ac:dyDescent="0.3">
      <c r="F19" s="160" t="str">
        <f t="shared" ca="1" si="1"/>
        <v/>
      </c>
      <c r="G19" s="160">
        <f t="shared" ca="1" si="3"/>
        <v>46631</v>
      </c>
      <c r="H19" s="160">
        <f t="shared" ca="1" si="2"/>
        <v>15</v>
      </c>
      <c r="I19" s="160">
        <f ca="1">IF($G19="Всього:",SUM($I$4:I18),IF(AND(DAY($C$4)&gt;=15,H19=1),K19+L19,$C$32))</f>
        <v>3804</v>
      </c>
      <c r="J19" s="160" t="e">
        <f ca="1">IF($G19="Всього:",SUM($J$4:J18),IF(I19-SUM(K19:L19)&lt;0,0,I19-SUM(K19:L19)))</f>
        <v>#VALUE!</v>
      </c>
      <c r="K19" s="160" t="e">
        <f ca="1">IF(G19="Всього:",SUM($K$5:K18),IF(F19&lt;&gt;F18,(F19*O18/36000*(G19-CONCATENATE(DAY($C$4),".",MONTH(G18),".",YEAR(G18)))+(F18*O18/36000*(CONCATENATE(DAY($C$4),".",MONTH(G18),".",YEAR(G18))-G18))),F19*O18/36000*(G19-G18)))</f>
        <v>#VALUE!</v>
      </c>
      <c r="L19" s="160" t="e">
        <f ca="1">IF(G19="Всього:",SUM($L$5:L18),$E$4)</f>
        <v>#VALUE!</v>
      </c>
      <c r="M19" s="160" t="e">
        <f ca="1">IF(G19="Всього:",SUM($M$5:M18),IF($E$5="UAH",J19+L19+K19,J19+K19))</f>
        <v>#VALUE!</v>
      </c>
      <c r="N19" s="160" t="str">
        <f ca="1">IF(G19="Всього:",SUM($N$4:N18),IF($E$5="UAH","",L19))</f>
        <v/>
      </c>
      <c r="O19" s="160" t="e">
        <f t="shared" ca="1" si="0"/>
        <v>#VALUE!</v>
      </c>
    </row>
    <row r="20" spans="1:15" x14ac:dyDescent="0.3">
      <c r="F20" s="160" t="str">
        <f t="shared" ca="1" si="1"/>
        <v/>
      </c>
      <c r="G20" s="160">
        <f t="shared" ca="1" si="3"/>
        <v>46661</v>
      </c>
      <c r="H20" s="160">
        <f t="shared" ca="1" si="2"/>
        <v>16</v>
      </c>
      <c r="I20" s="160">
        <f ca="1">IF($G20="Всього:",SUM($I$4:I19),IF(AND(DAY($C$4)&gt;=15,H20=1),K20+L20,$C$32))</f>
        <v>3804</v>
      </c>
      <c r="J20" s="160" t="e">
        <f ca="1">IF($G20="Всього:",SUM($J$4:J19),IF(I20-SUM(K20:L20)&lt;0,0,I20-SUM(K20:L20)))</f>
        <v>#VALUE!</v>
      </c>
      <c r="K20" s="160" t="e">
        <f ca="1">IF(G20="Всього:",SUM($K$5:K19),IF(F20&lt;&gt;F19,(F20*O19/36000*(G20-CONCATENATE(DAY($C$4),".",MONTH(G19),".",YEAR(G19)))+(F19*O19/36000*(CONCATENATE(DAY($C$4),".",MONTH(G19),".",YEAR(G19))-G19))),F20*O19/36000*(G20-G19)))</f>
        <v>#VALUE!</v>
      </c>
      <c r="L20" s="160" t="e">
        <f ca="1">IF(G20="Всього:",SUM($L$5:L19),$E$4)</f>
        <v>#VALUE!</v>
      </c>
      <c r="M20" s="160" t="e">
        <f ca="1">IF(G20="Всього:",SUM($M$5:M19),IF($E$5="UAH",J20+L20+K20,J20+K20))</f>
        <v>#VALUE!</v>
      </c>
      <c r="N20" s="160" t="str">
        <f ca="1">IF(G20="Всього:",SUM($N$4:N19),IF($E$5="UAH","",L20))</f>
        <v/>
      </c>
      <c r="O20" s="160" t="e">
        <f t="shared" ca="1" si="0"/>
        <v>#VALUE!</v>
      </c>
    </row>
    <row r="21" spans="1:15" x14ac:dyDescent="0.3">
      <c r="F21" s="160" t="str">
        <f t="shared" ca="1" si="1"/>
        <v/>
      </c>
      <c r="G21" s="160">
        <f t="shared" ca="1" si="3"/>
        <v>46692</v>
      </c>
      <c r="H21" s="160">
        <f t="shared" ca="1" si="2"/>
        <v>17</v>
      </c>
      <c r="I21" s="160">
        <f ca="1">IF($G21="Всього:",SUM($I$4:I20),IF(AND(DAY($C$4)&gt;=15,H21=1),K21+L21,$C$32))</f>
        <v>3804</v>
      </c>
      <c r="J21" s="160" t="e">
        <f ca="1">IF($G21="Всього:",SUM($J$4:J20),IF(I21-SUM(K21:L21)&lt;0,0,I21-SUM(K21:L21)))</f>
        <v>#VALUE!</v>
      </c>
      <c r="K21" s="160" t="e">
        <f ca="1">IF(G21="Всього:",SUM($K$5:K20),IF(F21&lt;&gt;F20,(F21*O20/36000*(G21-CONCATENATE(DAY($C$4),".",MONTH(G20),".",YEAR(G20)))+(F20*O20/36000*(CONCATENATE(DAY($C$4),".",MONTH(G20),".",YEAR(G20))-G20))),F21*O20/36000*(G21-G20)))</f>
        <v>#VALUE!</v>
      </c>
      <c r="L21" s="160" t="e">
        <f ca="1">IF(G21="Всього:",SUM($L$5:L20),$E$4)</f>
        <v>#VALUE!</v>
      </c>
      <c r="M21" s="160" t="e">
        <f ca="1">IF(G21="Всього:",SUM($M$5:M20),IF($E$5="UAH",J21+L21+K21,J21+K21))</f>
        <v>#VALUE!</v>
      </c>
      <c r="N21" s="160" t="str">
        <f ca="1">IF(G21="Всього:",SUM($N$4:N20),IF($E$5="UAH","",L21))</f>
        <v/>
      </c>
      <c r="O21" s="160" t="e">
        <f t="shared" ca="1" si="0"/>
        <v>#VALUE!</v>
      </c>
    </row>
    <row r="22" spans="1:15" x14ac:dyDescent="0.3">
      <c r="F22" s="160" t="str">
        <f t="shared" ca="1" si="1"/>
        <v/>
      </c>
      <c r="G22" s="160">
        <f t="shared" ca="1" si="3"/>
        <v>46722</v>
      </c>
      <c r="H22" s="160">
        <f t="shared" ca="1" si="2"/>
        <v>18</v>
      </c>
      <c r="I22" s="160">
        <f ca="1">IF($G22="Всього:",SUM($I$4:I21),IF(AND(DAY($C$4)&gt;=15,H22=1),K22+L22,$C$32))</f>
        <v>3804</v>
      </c>
      <c r="J22" s="160" t="e">
        <f ca="1">IF($G22="Всього:",SUM($J$4:J21),IF(I22-SUM(K22:L22)&lt;0,0,I22-SUM(K22:L22)))</f>
        <v>#VALUE!</v>
      </c>
      <c r="K22" s="160" t="e">
        <f ca="1">IF(G22="Всього:",SUM($K$5:K21),IF(F22&lt;&gt;F21,(F22*O21/36000*(G22-CONCATENATE(DAY($C$4),".",MONTH(G21),".",YEAR(G21)))+(F21*O21/36000*(CONCATENATE(DAY($C$4),".",MONTH(G21),".",YEAR(G21))-G21))),F22*O21/36000*(G22-G21)))</f>
        <v>#VALUE!</v>
      </c>
      <c r="L22" s="160" t="e">
        <f ca="1">IF(G22="Всього:",SUM($L$5:L21),$E$4)</f>
        <v>#VALUE!</v>
      </c>
      <c r="M22" s="160" t="e">
        <f ca="1">IF(G22="Всього:",SUM($M$5:M21),IF($E$5="UAH",J22+L22+K22,J22+K22))</f>
        <v>#VALUE!</v>
      </c>
      <c r="N22" s="160" t="str">
        <f ca="1">IF(G22="Всього:",SUM($N$4:N21),IF($E$5="UAH","",L22))</f>
        <v/>
      </c>
      <c r="O22" s="160" t="e">
        <f t="shared" ca="1" si="0"/>
        <v>#VALUE!</v>
      </c>
    </row>
    <row r="23" spans="1:15" x14ac:dyDescent="0.3">
      <c r="F23" s="160" t="str">
        <f t="shared" ca="1" si="1"/>
        <v/>
      </c>
      <c r="G23" s="160">
        <f t="shared" ca="1" si="3"/>
        <v>46753</v>
      </c>
      <c r="H23" s="160">
        <f t="shared" ca="1" si="2"/>
        <v>19</v>
      </c>
      <c r="I23" s="160">
        <f ca="1">IF($G23="Всього:",SUM($I$4:I22),IF(AND(DAY($C$4)&gt;=15,H23=1),K23+L23,$C$32))</f>
        <v>3804</v>
      </c>
      <c r="J23" s="160" t="e">
        <f ca="1">IF($G23="Всього:",SUM($J$4:J22),IF(I23-SUM(K23:L23)&lt;0,0,I23-SUM(K23:L23)))</f>
        <v>#VALUE!</v>
      </c>
      <c r="K23" s="160" t="e">
        <f ca="1">IF(G23="Всього:",SUM($K$5:K22),IF(F23&lt;&gt;F22,(F23*O22/36000*(G23-CONCATENATE(DAY($C$4),".",MONTH(G22),".",YEAR(G22)))+(F22*O22/36000*(CONCATENATE(DAY($C$4),".",MONTH(G22),".",YEAR(G22))-G22))),F23*O22/36000*(G23-G22)))</f>
        <v>#VALUE!</v>
      </c>
      <c r="L23" s="160" t="e">
        <f ca="1">IF(G23="Всього:",SUM($L$5:L22),$E$4)</f>
        <v>#VALUE!</v>
      </c>
      <c r="M23" s="160" t="e">
        <f ca="1">IF(G23="Всього:",SUM($M$5:M22),IF($E$5="UAH",J23+L23+K23,J23+K23))</f>
        <v>#VALUE!</v>
      </c>
      <c r="N23" s="160" t="str">
        <f ca="1">IF(G23="Всього:",SUM($N$4:N22),IF($E$5="UAH","",L23))</f>
        <v/>
      </c>
      <c r="O23" s="160" t="e">
        <f t="shared" ca="1" si="0"/>
        <v>#VALUE!</v>
      </c>
    </row>
    <row r="24" spans="1:15" x14ac:dyDescent="0.3">
      <c r="F24" s="160" t="str">
        <f t="shared" ca="1" si="1"/>
        <v/>
      </c>
      <c r="G24" s="160">
        <f t="shared" ca="1" si="3"/>
        <v>46784</v>
      </c>
      <c r="H24" s="160">
        <f t="shared" ca="1" si="2"/>
        <v>20</v>
      </c>
      <c r="I24" s="160">
        <f ca="1">IF($G24="Всього:",SUM($I$4:I23),IF(AND(DAY($C$4)&gt;=15,H24=1),K24+L24,$C$32))</f>
        <v>3804</v>
      </c>
      <c r="J24" s="160" t="e">
        <f ca="1">IF($G24="Всього:",SUM($J$4:J23),IF(I24-SUM(K24:L24)&lt;0,0,I24-SUM(K24:L24)))</f>
        <v>#VALUE!</v>
      </c>
      <c r="K24" s="160" t="e">
        <f ca="1">IF(G24="Всього:",SUM($K$5:K23),IF(F24&lt;&gt;F23,(F24*O23/36000*(G24-CONCATENATE(DAY($C$4),".",MONTH(G23),".",YEAR(G23)))+(F23*O23/36000*(CONCATENATE(DAY($C$4),".",MONTH(G23),".",YEAR(G23))-G23))),F24*O23/36000*(G24-G23)))</f>
        <v>#VALUE!</v>
      </c>
      <c r="L24" s="160" t="e">
        <f ca="1">IF(G24="Всього:",SUM($L$5:L23),$E$4)</f>
        <v>#VALUE!</v>
      </c>
      <c r="M24" s="160" t="e">
        <f ca="1">IF(G24="Всього:",SUM($M$5:M23),IF($E$5="UAH",J24+L24+K24,J24+K24))</f>
        <v>#VALUE!</v>
      </c>
      <c r="N24" s="160" t="str">
        <f ca="1">IF(G24="Всього:",SUM($N$4:N23),IF($E$5="UAH","",L24))</f>
        <v/>
      </c>
      <c r="O24" s="160" t="e">
        <f t="shared" ca="1" si="0"/>
        <v>#VALUE!</v>
      </c>
    </row>
    <row r="25" spans="1:15" x14ac:dyDescent="0.3">
      <c r="F25" s="160" t="str">
        <f t="shared" ca="1" si="1"/>
        <v/>
      </c>
      <c r="G25" s="160">
        <f t="shared" ca="1" si="3"/>
        <v>46813</v>
      </c>
      <c r="H25" s="160">
        <f t="shared" ca="1" si="2"/>
        <v>21</v>
      </c>
      <c r="I25" s="160">
        <f ca="1">IF($G25="Всього:",SUM($I$4:I24),IF(AND(DAY($C$4)&gt;=15,H25=1),K25+L25,$C$32))</f>
        <v>3804</v>
      </c>
      <c r="J25" s="160" t="e">
        <f ca="1">IF($G25="Всього:",SUM($J$4:J24),IF(I25-SUM(K25:L25)&lt;0,0,I25-SUM(K25:L25)))</f>
        <v>#VALUE!</v>
      </c>
      <c r="K25" s="160" t="e">
        <f ca="1">IF(G25="Всього:",SUM($K$5:K24),IF(F25&lt;&gt;F24,(F25*O24/36000*(G25-CONCATENATE(DAY($C$4),".",MONTH(G24),".",YEAR(G24)))+(F24*O24/36000*(CONCATENATE(DAY($C$4),".",MONTH(G24),".",YEAR(G24))-G24))),F25*O24/36000*(G25-G24)))</f>
        <v>#VALUE!</v>
      </c>
      <c r="L25" s="160" t="e">
        <f ca="1">IF(G25="Всього:",SUM($L$5:L24),$E$4)</f>
        <v>#VALUE!</v>
      </c>
      <c r="M25" s="160" t="e">
        <f ca="1">IF(G25="Всього:",SUM($M$5:M24),IF($E$5="UAH",J25+L25+K25,J25+K25))</f>
        <v>#VALUE!</v>
      </c>
      <c r="N25" s="160" t="str">
        <f ca="1">IF(G25="Всього:",SUM($N$4:N24),IF($E$5="UAH","",L25))</f>
        <v/>
      </c>
      <c r="O25" s="160" t="e">
        <f t="shared" ca="1" si="0"/>
        <v>#VALUE!</v>
      </c>
    </row>
    <row r="26" spans="1:15" x14ac:dyDescent="0.3">
      <c r="F26" s="160" t="str">
        <f t="shared" ca="1" si="1"/>
        <v/>
      </c>
      <c r="G26" s="160">
        <f t="shared" ca="1" si="3"/>
        <v>46844</v>
      </c>
      <c r="H26" s="160">
        <f t="shared" ca="1" si="2"/>
        <v>22</v>
      </c>
      <c r="I26" s="160">
        <f ca="1">IF($G26="Всього:",SUM($I$4:I25),IF(AND(DAY($C$4)&gt;=15,H26=1),K26+L26,$C$32))</f>
        <v>3804</v>
      </c>
      <c r="J26" s="160" t="e">
        <f ca="1">IF($G26="Всього:",SUM($J$4:J25),IF(I26-SUM(K26:L26)&lt;0,0,I26-SUM(K26:L26)))</f>
        <v>#VALUE!</v>
      </c>
      <c r="K26" s="160" t="e">
        <f ca="1">IF(G26="Всього:",SUM($K$5:K25),IF(F26&lt;&gt;F25,(F26*O25/36000*(G26-CONCATENATE(DAY($C$4),".",MONTH(G25),".",YEAR(G25)))+(F25*O25/36000*(CONCATENATE(DAY($C$4),".",MONTH(G25),".",YEAR(G25))-G25))),F26*O25/36000*(G26-G25)))</f>
        <v>#VALUE!</v>
      </c>
      <c r="L26" s="160" t="e">
        <f ca="1">IF(G26="Всього:",SUM($L$5:L25),$E$4)</f>
        <v>#VALUE!</v>
      </c>
      <c r="M26" s="160" t="e">
        <f ca="1">IF(G26="Всього:",SUM($M$5:M25),IF($E$5="UAH",J26+L26+K26,J26+K26))</f>
        <v>#VALUE!</v>
      </c>
      <c r="N26" s="160" t="str">
        <f ca="1">IF(G26="Всього:",SUM($N$4:N25),IF($E$5="UAH","",L26))</f>
        <v/>
      </c>
      <c r="O26" s="160" t="e">
        <f t="shared" ca="1" si="0"/>
        <v>#VALUE!</v>
      </c>
    </row>
    <row r="27" spans="1:15" x14ac:dyDescent="0.3">
      <c r="F27" s="160" t="str">
        <f t="shared" ca="1" si="1"/>
        <v/>
      </c>
      <c r="G27" s="160">
        <f t="shared" ca="1" si="3"/>
        <v>46874</v>
      </c>
      <c r="H27" s="160">
        <f t="shared" ca="1" si="2"/>
        <v>23</v>
      </c>
      <c r="I27" s="160">
        <f ca="1">IF($G27="Всього:",SUM($I$4:I26),IF(AND(DAY($C$4)&gt;=15,H27=1),K27+L27,$C$32))</f>
        <v>3804</v>
      </c>
      <c r="J27" s="160" t="e">
        <f ca="1">IF($G27="Всього:",SUM($J$4:J26),IF(I27-SUM(K27:L27)&lt;0,0,I27-SUM(K27:L27)))</f>
        <v>#VALUE!</v>
      </c>
      <c r="K27" s="160" t="e">
        <f ca="1">IF(G27="Всього:",SUM($K$5:K26),IF(F27&lt;&gt;F26,(F27*O26/36000*(G27-CONCATENATE(DAY($C$4),".",MONTH(G26),".",YEAR(G26)))+(F26*O26/36000*(CONCATENATE(DAY($C$4),".",MONTH(G26),".",YEAR(G26))-G26))),F27*O26/36000*(G27-G26)))</f>
        <v>#VALUE!</v>
      </c>
      <c r="L27" s="160" t="e">
        <f ca="1">IF(G27="Всього:",SUM($L$5:L26),$E$4)</f>
        <v>#VALUE!</v>
      </c>
      <c r="M27" s="160" t="e">
        <f ca="1">IF(G27="Всього:",SUM($M$5:M26),IF($E$5="UAH",J27+L27+K27,J27+K27))</f>
        <v>#VALUE!</v>
      </c>
      <c r="N27" s="160" t="str">
        <f ca="1">IF(G27="Всього:",SUM($N$4:N26),IF($E$5="UAH","",L27))</f>
        <v/>
      </c>
      <c r="O27" s="160" t="e">
        <f t="shared" ca="1" si="0"/>
        <v>#VALUE!</v>
      </c>
    </row>
    <row r="28" spans="1:15" x14ac:dyDescent="0.3">
      <c r="F28" s="160" t="str">
        <f t="shared" ca="1" si="1"/>
        <v/>
      </c>
      <c r="G28" s="160">
        <f t="shared" ca="1" si="3"/>
        <v>46905</v>
      </c>
      <c r="H28" s="160">
        <f t="shared" ca="1" si="2"/>
        <v>24</v>
      </c>
      <c r="I28" s="160">
        <f ca="1">IF($G28="Всього:",SUM($I$4:I27),IF(AND(DAY($C$4)&gt;=15,H28=1),K28+L28,$C$32))</f>
        <v>3804</v>
      </c>
      <c r="J28" s="160" t="e">
        <f ca="1">IF($G28="Всього:",SUM($J$4:J27),IF(I28-SUM(K28:L28)&lt;0,0,I28-SUM(K28:L28)))</f>
        <v>#VALUE!</v>
      </c>
      <c r="K28" s="160" t="e">
        <f ca="1">IF(G28="Всього:",SUM($K$5:K27),IF(F28&lt;&gt;F27,(F28*O27/36000*(G28-CONCATENATE(DAY($C$4),".",MONTH(G27),".",YEAR(G27)))+(F27*O27/36000*(CONCATENATE(DAY($C$4),".",MONTH(G27),".",YEAR(G27))-G27))),F28*O27/36000*(G28-G27)))</f>
        <v>#VALUE!</v>
      </c>
      <c r="L28" s="160" t="e">
        <f ca="1">IF(G28="Всього:",SUM($L$5:L27),$E$4)</f>
        <v>#VALUE!</v>
      </c>
      <c r="M28" s="160" t="e">
        <f ca="1">IF(G28="Всього:",SUM($M$5:M27),IF($E$5="UAH",J28+L28+K28,J28+K28))</f>
        <v>#VALUE!</v>
      </c>
      <c r="N28" s="160" t="str">
        <f ca="1">IF(G28="Всього:",SUM($N$4:N27),IF($E$5="UAH","",L28))</f>
        <v/>
      </c>
      <c r="O28" s="160" t="e">
        <f t="shared" ca="1" si="0"/>
        <v>#VALUE!</v>
      </c>
    </row>
    <row r="29" spans="1:15" x14ac:dyDescent="0.3">
      <c r="F29" s="160" t="str">
        <f t="shared" ca="1" si="1"/>
        <v/>
      </c>
      <c r="G29" s="160">
        <f t="shared" ca="1" si="3"/>
        <v>46935</v>
      </c>
      <c r="H29" s="160">
        <f t="shared" ca="1" si="2"/>
        <v>25</v>
      </c>
      <c r="I29" s="160">
        <f ca="1">IF($G29="Всього:",SUM($I$4:I28),IF(AND(DAY($C$4)&gt;=15,H29=1),K29+L29,$C$32))</f>
        <v>3804</v>
      </c>
      <c r="J29" s="160" t="e">
        <f ca="1">IF($G29="Всього:",SUM($J$4:J28),IF(I29-SUM(K29:L29)&lt;0,0,I29-SUM(K29:L29)))</f>
        <v>#VALUE!</v>
      </c>
      <c r="K29" s="160" t="e">
        <f ca="1">IF(G29="Всього:",SUM($K$5:K28),IF(F29&lt;&gt;F28,(F29*O28/36000*(G29-CONCATENATE(DAY($C$4),".",MONTH(G28),".",YEAR(G28)))+(F28*O28/36000*(CONCATENATE(DAY($C$4),".",MONTH(G28),".",YEAR(G28))-G28))),F29*O28/36000*(G29-G28)))</f>
        <v>#VALUE!</v>
      </c>
      <c r="L29" s="160" t="e">
        <f ca="1">IF(G29="Всього:",SUM($L$5:L28),$E$4)</f>
        <v>#VALUE!</v>
      </c>
      <c r="M29" s="160" t="e">
        <f ca="1">IF(G29="Всього:",SUM($M$5:M28),IF($E$5="UAH",J29+L29+K29,J29+K29))</f>
        <v>#VALUE!</v>
      </c>
      <c r="N29" s="160" t="str">
        <f ca="1">IF(G29="Всього:",SUM($N$4:N28),IF($E$5="UAH","",L29))</f>
        <v/>
      </c>
      <c r="O29" s="160" t="e">
        <f t="shared" ca="1" si="0"/>
        <v>#VALUE!</v>
      </c>
    </row>
    <row r="30" spans="1:15" x14ac:dyDescent="0.3">
      <c r="F30" s="160" t="str">
        <f t="shared" ca="1" si="1"/>
        <v/>
      </c>
      <c r="G30" s="160">
        <f t="shared" ca="1" si="3"/>
        <v>46966</v>
      </c>
      <c r="H30" s="160">
        <f t="shared" ca="1" si="2"/>
        <v>26</v>
      </c>
      <c r="I30" s="160">
        <f ca="1">IF($G30="Всього:",SUM($I$4:I29),IF(AND(DAY($C$4)&gt;=15,H30=1),K30+L30,$C$32))</f>
        <v>3804</v>
      </c>
      <c r="J30" s="160" t="e">
        <f ca="1">IF($G30="Всього:",SUM($J$4:J29),IF(I30-SUM(K30:L30)&lt;0,0,I30-SUM(K30:L30)))</f>
        <v>#VALUE!</v>
      </c>
      <c r="K30" s="160" t="e">
        <f ca="1">IF(G30="Всього:",SUM($K$5:K29),IF(F30&lt;&gt;F29,(F30*O29/36000*(G30-CONCATENATE(DAY($C$4),".",MONTH(G29),".",YEAR(G29)))+(F29*O29/36000*(CONCATENATE(DAY($C$4),".",MONTH(G29),".",YEAR(G29))-G29))),F30*O29/36000*(G30-G29)))</f>
        <v>#VALUE!</v>
      </c>
      <c r="L30" s="160" t="e">
        <f ca="1">IF(G30="Всього:",SUM($L$5:L29),$E$4)</f>
        <v>#VALUE!</v>
      </c>
      <c r="M30" s="160" t="e">
        <f ca="1">IF(G30="Всього:",SUM($M$5:M29),IF($E$5="UAH",J30+L30+K30,J30+K30))</f>
        <v>#VALUE!</v>
      </c>
      <c r="N30" s="160" t="str">
        <f ca="1">IF(G30="Всього:",SUM($N$4:N29),IF($E$5="UAH","",L30))</f>
        <v/>
      </c>
      <c r="O30" s="160" t="e">
        <f t="shared" ca="1" si="0"/>
        <v>#VALUE!</v>
      </c>
    </row>
    <row r="31" spans="1:15" x14ac:dyDescent="0.3">
      <c r="F31" s="160" t="str">
        <f t="shared" ca="1" si="1"/>
        <v/>
      </c>
      <c r="G31" s="160">
        <f t="shared" ca="1" si="3"/>
        <v>46997</v>
      </c>
      <c r="H31" s="160">
        <f t="shared" ca="1" si="2"/>
        <v>27</v>
      </c>
      <c r="I31" s="160">
        <f ca="1">IF($G31="Всього:",SUM($I$4:I30),IF(AND(DAY($C$4)&gt;=15,H31=1),K31+L31,$C$32))</f>
        <v>3804</v>
      </c>
      <c r="J31" s="160" t="e">
        <f ca="1">IF($G31="Всього:",SUM($J$4:J30),IF(I31-SUM(K31:L31)&lt;0,0,I31-SUM(K31:L31)))</f>
        <v>#VALUE!</v>
      </c>
      <c r="K31" s="160" t="e">
        <f ca="1">IF(G31="Всього:",SUM($K$5:K30),IF(F31&lt;&gt;F30,(F31*O30/36000*(G31-CONCATENATE(DAY($C$4),".",MONTH(G30),".",YEAR(G30)))+(F30*O30/36000*(CONCATENATE(DAY($C$4),".",MONTH(G30),".",YEAR(G30))-G30))),F31*O30/36000*(G31-G30)))</f>
        <v>#VALUE!</v>
      </c>
      <c r="L31" s="160" t="e">
        <f ca="1">IF(G31="Всього:",SUM($L$5:L30),$E$4)</f>
        <v>#VALUE!</v>
      </c>
      <c r="M31" s="160" t="e">
        <f ca="1">IF(G31="Всього:",SUM($M$5:M30),IF($E$5="UAH",J31+L31+K31,J31+K31))</f>
        <v>#VALUE!</v>
      </c>
      <c r="N31" s="160" t="str">
        <f ca="1">IF(G31="Всього:",SUM($N$4:N30),IF($E$5="UAH","",L31))</f>
        <v/>
      </c>
      <c r="O31" s="160" t="e">
        <f t="shared" ca="1" si="0"/>
        <v>#VALUE!</v>
      </c>
    </row>
    <row r="32" spans="1:15" x14ac:dyDescent="0.3">
      <c r="A32" s="160" t="s">
        <v>336</v>
      </c>
      <c r="B32" s="160">
        <v>3803.9567544298634</v>
      </c>
      <c r="C32" s="160">
        <v>3804</v>
      </c>
      <c r="D32" s="160" t="s">
        <v>345</v>
      </c>
      <c r="F32" s="160" t="str">
        <f t="shared" ca="1" si="1"/>
        <v/>
      </c>
      <c r="G32" s="160">
        <f t="shared" ca="1" si="3"/>
        <v>47027</v>
      </c>
      <c r="H32" s="160">
        <f t="shared" ca="1" si="2"/>
        <v>28</v>
      </c>
      <c r="I32" s="160">
        <f ca="1">IF($G32="Всього:",SUM($I$4:I31),IF(AND(DAY($C$4)&gt;=15,H32=1),K32+L32,$C$32))</f>
        <v>3804</v>
      </c>
      <c r="J32" s="160" t="e">
        <f ca="1">IF($G32="Всього:",SUM($J$4:J31),IF(I32-SUM(K32:L32)&lt;0,0,I32-SUM(K32:L32)))</f>
        <v>#VALUE!</v>
      </c>
      <c r="K32" s="160" t="e">
        <f ca="1">IF(G32="Всього:",SUM($K$5:K31),IF(F32&lt;&gt;F31,(F32*O31/36000*(G32-CONCATENATE(DAY($C$4),".",MONTH(G31),".",YEAR(G31)))+(F31*O31/36000*(CONCATENATE(DAY($C$4),".",MONTH(G31),".",YEAR(G31))-G31))),F32*O31/36000*(G32-G31)))</f>
        <v>#VALUE!</v>
      </c>
      <c r="L32" s="160" t="e">
        <f ca="1">IF(G32="Всього:",SUM($L$5:L31),$E$4)</f>
        <v>#VALUE!</v>
      </c>
      <c r="M32" s="160" t="e">
        <f ca="1">IF(G32="Всього:",SUM($M$5:M31),IF($E$5="UAH",J32+L32+K32,J32+K32))</f>
        <v>#VALUE!</v>
      </c>
      <c r="N32" s="160" t="str">
        <f ca="1">IF(G32="Всього:",SUM($N$4:N31),IF($E$5="UAH","",L32))</f>
        <v/>
      </c>
      <c r="O32" s="160" t="e">
        <f t="shared" ca="1" si="0"/>
        <v>#VALUE!</v>
      </c>
    </row>
    <row r="33" spans="1:15" x14ac:dyDescent="0.3">
      <c r="A33" s="160" t="s">
        <v>337</v>
      </c>
      <c r="B33" s="160">
        <v>3803.9571162986153</v>
      </c>
      <c r="C33" s="160">
        <v>3804</v>
      </c>
      <c r="D33" s="160" t="s">
        <v>359</v>
      </c>
      <c r="F33" s="160" t="str">
        <f t="shared" ca="1" si="1"/>
        <v/>
      </c>
      <c r="G33" s="160">
        <f t="shared" ca="1" si="3"/>
        <v>47058</v>
      </c>
      <c r="H33" s="160">
        <f t="shared" ca="1" si="2"/>
        <v>29</v>
      </c>
      <c r="I33" s="160">
        <f ca="1">IF($G33="Всього:",SUM($I$4:I32),IF(AND(DAY($C$4)&gt;=15,H33=1),K33+L33,$C$32))</f>
        <v>3804</v>
      </c>
      <c r="J33" s="160" t="e">
        <f ca="1">IF($G33="Всього:",SUM($J$4:J32),IF(I33-SUM(K33:L33)&lt;0,0,I33-SUM(K33:L33)))</f>
        <v>#VALUE!</v>
      </c>
      <c r="K33" s="160" t="e">
        <f ca="1">IF(G33="Всього:",SUM($K$5:K32),IF(F33&lt;&gt;F32,(F33*O32/36000*(G33-CONCATENATE(DAY($C$4),".",MONTH(G32),".",YEAR(G32)))+(F32*O32/36000*(CONCATENATE(DAY($C$4),".",MONTH(G32),".",YEAR(G32))-G32))),F33*O32/36000*(G33-G32)))</f>
        <v>#VALUE!</v>
      </c>
      <c r="L33" s="160" t="e">
        <f ca="1">IF(G33="Всього:",SUM($L$5:L32),$E$4)</f>
        <v>#VALUE!</v>
      </c>
      <c r="M33" s="160" t="e">
        <f ca="1">IF(G33="Всього:",SUM($M$5:M32),IF($E$5="UAH",J33+L33+K33,J33+K33))</f>
        <v>#VALUE!</v>
      </c>
      <c r="N33" s="160" t="str">
        <f ca="1">IF(G33="Всього:",SUM($N$4:N32),IF($E$5="UAH","",L33))</f>
        <v/>
      </c>
      <c r="O33" s="160" t="e">
        <f t="shared" ca="1" si="0"/>
        <v>#VALUE!</v>
      </c>
    </row>
    <row r="34" spans="1:15" x14ac:dyDescent="0.3">
      <c r="A34" s="160" t="s">
        <v>344</v>
      </c>
      <c r="B34" s="160">
        <v>3795.2158627380263</v>
      </c>
      <c r="F34" s="160" t="str">
        <f t="shared" ca="1" si="1"/>
        <v/>
      </c>
      <c r="G34" s="160">
        <f t="shared" ca="1" si="3"/>
        <v>47088</v>
      </c>
      <c r="H34" s="160">
        <f t="shared" ca="1" si="2"/>
        <v>30</v>
      </c>
      <c r="I34" s="160">
        <f ca="1">IF($G34="Всього:",SUM($I$4:I33),IF(AND(DAY($C$4)&gt;=15,H34=1),K34+L34,$C$32))</f>
        <v>3804</v>
      </c>
      <c r="J34" s="160" t="e">
        <f ca="1">IF($G34="Всього:",SUM($J$4:J33),IF(I34-SUM(K34:L34)&lt;0,0,I34-SUM(K34:L34)))</f>
        <v>#VALUE!</v>
      </c>
      <c r="K34" s="160" t="e">
        <f ca="1">IF(G34="Всього:",SUM($K$5:K33),IF(F34&lt;&gt;F33,(F34*O33/36000*(G34-CONCATENATE(DAY($C$4),".",MONTH(G33),".",YEAR(G33)))+(F33*O33/36000*(CONCATENATE(DAY($C$4),".",MONTH(G33),".",YEAR(G33))-G33))),F34*O33/36000*(G34-G33)))</f>
        <v>#VALUE!</v>
      </c>
      <c r="L34" s="160" t="e">
        <f ca="1">IF(G34="Всього:",SUM($L$5:L33),$E$4)</f>
        <v>#VALUE!</v>
      </c>
      <c r="M34" s="160" t="e">
        <f ca="1">IF(G34="Всього:",SUM($M$5:M33),IF($E$5="UAH",J34+L34+K34,J34+K34))</f>
        <v>#VALUE!</v>
      </c>
      <c r="N34" s="160" t="str">
        <f ca="1">IF(G34="Всього:",SUM($N$4:N33),IF($E$5="UAH","",L34))</f>
        <v/>
      </c>
      <c r="O34" s="160" t="e">
        <f t="shared" ca="1" si="0"/>
        <v>#VALUE!</v>
      </c>
    </row>
    <row r="35" spans="1:15" x14ac:dyDescent="0.3">
      <c r="F35" s="160" t="str">
        <f t="shared" ca="1" si="1"/>
        <v/>
      </c>
      <c r="G35" s="160">
        <f t="shared" ca="1" si="3"/>
        <v>47119</v>
      </c>
      <c r="H35" s="160">
        <f t="shared" ca="1" si="2"/>
        <v>31</v>
      </c>
      <c r="I35" s="160">
        <f ca="1">IF($G35="Всього:",SUM($I$4:I34),IF(AND(DAY($C$4)&gt;=15,H35=1),K35+L35,$C$32))</f>
        <v>3804</v>
      </c>
      <c r="J35" s="160" t="e">
        <f ca="1">IF($G35="Всього:",SUM($J$4:J34),IF(I35-SUM(K35:L35)&lt;0,0,I35-SUM(K35:L35)))</f>
        <v>#VALUE!</v>
      </c>
      <c r="K35" s="160" t="e">
        <f ca="1">IF(G35="Всього:",SUM($K$5:K34),IF(F35&lt;&gt;F34,(F35*O34/36000*(G35-CONCATENATE(DAY($C$4),".",MONTH(G34),".",YEAR(G34)))+(F34*O34/36000*(CONCATENATE(DAY($C$4),".",MONTH(G34),".",YEAR(G34))-G34))),F35*O34/36000*(G35-G34)))</f>
        <v>#VALUE!</v>
      </c>
      <c r="L35" s="160" t="e">
        <f ca="1">IF(G35="Всього:",SUM($L$5:L34),$E$4)</f>
        <v>#VALUE!</v>
      </c>
      <c r="M35" s="160" t="e">
        <f ca="1">IF(G35="Всього:",SUM($M$5:M34),IF($E$5="UAH",J35+L35+K35,J35+K35))</f>
        <v>#VALUE!</v>
      </c>
      <c r="N35" s="160" t="str">
        <f ca="1">IF(G35="Всього:",SUM($N$4:N34),IF($E$5="UAH","",L35))</f>
        <v/>
      </c>
      <c r="O35" s="160" t="e">
        <f t="shared" ca="1" si="0"/>
        <v>#VALUE!</v>
      </c>
    </row>
    <row r="36" spans="1:15" x14ac:dyDescent="0.3">
      <c r="F36" s="160" t="str">
        <f t="shared" ca="1" si="1"/>
        <v/>
      </c>
      <c r="G36" s="160">
        <f t="shared" ca="1" si="3"/>
        <v>47150</v>
      </c>
      <c r="H36" s="160">
        <f t="shared" ca="1" si="2"/>
        <v>32</v>
      </c>
      <c r="I36" s="160">
        <f ca="1">IF($G36="Всього:",SUM($I$4:I35),IF(AND(DAY($C$4)&gt;=15,H36=1),K36+L36,$C$32))</f>
        <v>3804</v>
      </c>
      <c r="J36" s="160" t="e">
        <f ca="1">IF($G36="Всього:",SUM($J$4:J35),IF(I36-SUM(K36:L36)&lt;0,0,I36-SUM(K36:L36)))</f>
        <v>#VALUE!</v>
      </c>
      <c r="K36" s="160" t="e">
        <f ca="1">IF(G36="Всього:",SUM($K$5:K35),IF(F36&lt;&gt;F35,(F36*O35/36000*(G36-CONCATENATE(DAY($C$4),".",MONTH(G35),".",YEAR(G35)))+(F35*O35/36000*(CONCATENATE(DAY($C$4),".",MONTH(G35),".",YEAR(G35))-G35))),F36*O35/36000*(G36-G35)))</f>
        <v>#VALUE!</v>
      </c>
      <c r="L36" s="160" t="e">
        <f ca="1">IF(G36="Всього:",SUM($L$5:L35),$E$4)</f>
        <v>#VALUE!</v>
      </c>
      <c r="M36" s="160" t="e">
        <f ca="1">IF(G36="Всього:",SUM($M$5:M35),IF($E$5="UAH",J36+L36+K36,J36+K36))</f>
        <v>#VALUE!</v>
      </c>
      <c r="N36" s="160" t="str">
        <f ca="1">IF(G36="Всього:",SUM($N$4:N35),IF($E$5="UAH","",L36))</f>
        <v/>
      </c>
      <c r="O36" s="160" t="e">
        <f t="shared" ca="1" si="0"/>
        <v>#VALUE!</v>
      </c>
    </row>
    <row r="37" spans="1:15" x14ac:dyDescent="0.3">
      <c r="F37" s="160" t="str">
        <f t="shared" ca="1" si="1"/>
        <v/>
      </c>
      <c r="G37" s="160">
        <f t="shared" ca="1" si="3"/>
        <v>47178</v>
      </c>
      <c r="H37" s="160">
        <f t="shared" ca="1" si="2"/>
        <v>33</v>
      </c>
      <c r="I37" s="160">
        <f ca="1">IF($G37="Всього:",SUM($I$4:I36),IF(AND(DAY($C$4)&gt;=15,H37=1),K37+L37,$C$32))</f>
        <v>3804</v>
      </c>
      <c r="J37" s="160" t="e">
        <f ca="1">IF($G37="Всього:",SUM($J$4:J36),IF(I37-SUM(K37:L37)&lt;0,0,I37-SUM(K37:L37)))</f>
        <v>#VALUE!</v>
      </c>
      <c r="K37" s="160" t="e">
        <f ca="1">IF(G37="Всього:",SUM($K$5:K36),IF(F37&lt;&gt;F36,(F37*O36/36000*(G37-CONCATENATE(DAY($C$4),".",MONTH(G36),".",YEAR(G36)))+(F36*O36/36000*(CONCATENATE(DAY($C$4),".",MONTH(G36),".",YEAR(G36))-G36))),F37*O36/36000*(G37-G36)))</f>
        <v>#VALUE!</v>
      </c>
      <c r="L37" s="160" t="e">
        <f ca="1">IF(G37="Всього:",SUM($L$5:L36),$E$4)</f>
        <v>#VALUE!</v>
      </c>
      <c r="M37" s="160" t="e">
        <f ca="1">IF(G37="Всього:",SUM($M$5:M36),IF($E$5="UAH",J37+L37+K37,J37+K37))</f>
        <v>#VALUE!</v>
      </c>
      <c r="N37" s="160" t="str">
        <f ca="1">IF(G37="Всього:",SUM($N$4:N36),IF($E$5="UAH","",L37))</f>
        <v/>
      </c>
      <c r="O37" s="160" t="e">
        <f t="shared" ca="1" si="0"/>
        <v>#VALUE!</v>
      </c>
    </row>
    <row r="38" spans="1:15" x14ac:dyDescent="0.3">
      <c r="F38" s="160" t="str">
        <f t="shared" ca="1" si="1"/>
        <v/>
      </c>
      <c r="G38" s="160">
        <f t="shared" ca="1" si="3"/>
        <v>47209</v>
      </c>
      <c r="H38" s="160">
        <f t="shared" ca="1" si="2"/>
        <v>34</v>
      </c>
      <c r="I38" s="160">
        <f ca="1">IF($G38="Всього:",SUM($I$4:I37),IF(AND(DAY($C$4)&gt;=15,H38=1),K38+L38,$C$32))</f>
        <v>3804</v>
      </c>
      <c r="J38" s="160" t="e">
        <f ca="1">IF($G38="Всього:",SUM($J$4:J37),IF(I38-SUM(K38:L38)&lt;0,0,I38-SUM(K38:L38)))</f>
        <v>#VALUE!</v>
      </c>
      <c r="K38" s="160" t="e">
        <f ca="1">IF(G38="Всього:",SUM($K$5:K37),IF(F38&lt;&gt;F37,(F38*O37/36000*(G38-CONCATENATE(DAY($C$4),".",MONTH(G37),".",YEAR(G37)))+(F37*O37/36000*(CONCATENATE(DAY($C$4),".",MONTH(G37),".",YEAR(G37))-G37))),F38*O37/36000*(G38-G37)))</f>
        <v>#VALUE!</v>
      </c>
      <c r="L38" s="160" t="e">
        <f ca="1">IF(G38="Всього:",SUM($L$5:L37),$E$4)</f>
        <v>#VALUE!</v>
      </c>
      <c r="M38" s="160" t="e">
        <f ca="1">IF(G38="Всього:",SUM($M$5:M37),IF($E$5="UAH",J38+L38+K38,J38+K38))</f>
        <v>#VALUE!</v>
      </c>
      <c r="N38" s="160" t="str">
        <f ca="1">IF(G38="Всього:",SUM($N$4:N37),IF($E$5="UAH","",L38))</f>
        <v/>
      </c>
      <c r="O38" s="160" t="e">
        <f t="shared" ca="1" si="0"/>
        <v>#VALUE!</v>
      </c>
    </row>
    <row r="39" spans="1:15" x14ac:dyDescent="0.3">
      <c r="F39" s="160" t="str">
        <f t="shared" ca="1" si="1"/>
        <v/>
      </c>
      <c r="G39" s="160">
        <f t="shared" ca="1" si="3"/>
        <v>47239</v>
      </c>
      <c r="H39" s="160">
        <f t="shared" ca="1" si="2"/>
        <v>35</v>
      </c>
      <c r="I39" s="160">
        <f ca="1">IF($G39="Всього:",SUM($I$4:I38),IF(AND(DAY($C$4)&gt;=15,H39=1),K39+L39,$C$32))</f>
        <v>3804</v>
      </c>
      <c r="J39" s="160" t="e">
        <f ca="1">IF($G39="Всього:",SUM($J$4:J38),IF(I39-SUM(K39:L39)&lt;0,0,I39-SUM(K39:L39)))</f>
        <v>#VALUE!</v>
      </c>
      <c r="K39" s="160" t="e">
        <f ca="1">IF(G39="Всього:",SUM($K$5:K38),IF(F39&lt;&gt;F38,(F39*O38/36000*(G39-CONCATENATE(DAY($C$4),".",MONTH(G38),".",YEAR(G38)))+(F38*O38/36000*(CONCATENATE(DAY($C$4),".",MONTH(G38),".",YEAR(G38))-G38))),F39*O38/36000*(G39-G38)))</f>
        <v>#VALUE!</v>
      </c>
      <c r="L39" s="160" t="e">
        <f ca="1">IF(G39="Всього:",SUM($L$5:L38),$E$4)</f>
        <v>#VALUE!</v>
      </c>
      <c r="M39" s="160" t="e">
        <f ca="1">IF(G39="Всього:",SUM($M$5:M38),IF($E$5="UAH",J39+L39+K39,J39+K39))</f>
        <v>#VALUE!</v>
      </c>
      <c r="N39" s="160" t="str">
        <f ca="1">IF(G39="Всього:",SUM($N$4:N38),IF($E$5="UAH","",L39))</f>
        <v/>
      </c>
      <c r="O39" s="160" t="e">
        <f t="shared" ca="1" si="0"/>
        <v>#VALUE!</v>
      </c>
    </row>
    <row r="40" spans="1:15" x14ac:dyDescent="0.3">
      <c r="F40" s="160" t="str">
        <f t="shared" ca="1" si="1"/>
        <v/>
      </c>
      <c r="G40" s="160">
        <f t="shared" ca="1" si="3"/>
        <v>47270</v>
      </c>
      <c r="H40" s="160">
        <f t="shared" ca="1" si="2"/>
        <v>36</v>
      </c>
      <c r="I40" s="160">
        <f ca="1">IF($G40="Всього:",SUM($I$4:I39),IF(AND(DAY($C$4)&gt;=15,H40=1),K40+L40,$C$32))</f>
        <v>3804</v>
      </c>
      <c r="J40" s="160" t="e">
        <f ca="1">IF($G40="Всього:",SUM($J$4:J39),IF(I40-SUM(K40:L40)&lt;0,0,I40-SUM(K40:L40)))</f>
        <v>#VALUE!</v>
      </c>
      <c r="K40" s="160" t="e">
        <f ca="1">IF(G40="Всього:",SUM($K$5:K39),IF(F40&lt;&gt;F39,(F40*O39/36000*(G40-CONCATENATE(DAY($C$4),".",MONTH(G39),".",YEAR(G39)))+(F39*O39/36000*(CONCATENATE(DAY($C$4),".",MONTH(G39),".",YEAR(G39))-G39))),F40*O39/36000*(G40-G39)))</f>
        <v>#VALUE!</v>
      </c>
      <c r="L40" s="160" t="e">
        <f ca="1">IF(G40="Всього:",SUM($L$5:L39),$E$4)</f>
        <v>#VALUE!</v>
      </c>
      <c r="M40" s="160" t="e">
        <f ca="1">IF(G40="Всього:",SUM($M$5:M39),IF($E$5="UAH",J40+L40+K40,J40+K40))</f>
        <v>#VALUE!</v>
      </c>
      <c r="N40" s="160" t="str">
        <f ca="1">IF(G40="Всього:",SUM($N$4:N39),IF($E$5="UAH","",L40))</f>
        <v/>
      </c>
      <c r="O40" s="160" t="e">
        <f t="shared" ca="1" si="0"/>
        <v>#VALUE!</v>
      </c>
    </row>
    <row r="41" spans="1:15" x14ac:dyDescent="0.3">
      <c r="F41" s="160" t="str">
        <f t="shared" ca="1" si="1"/>
        <v/>
      </c>
      <c r="G41" s="160">
        <f t="shared" ca="1" si="3"/>
        <v>47300</v>
      </c>
      <c r="H41" s="160">
        <f t="shared" ca="1" si="2"/>
        <v>37</v>
      </c>
      <c r="I41" s="160">
        <f ca="1">IF($G41="Всього:",SUM($I$4:I40),IF(AND(DAY($C$4)&gt;=15,H41=1),K41+L41,$C$32))</f>
        <v>3804</v>
      </c>
      <c r="J41" s="160" t="e">
        <f ca="1">IF($G41="Всього:",SUM($J$4:J40),IF(I41-SUM(K41:L41)&lt;0,0,I41-SUM(K41:L41)))</f>
        <v>#VALUE!</v>
      </c>
      <c r="K41" s="160" t="e">
        <f ca="1">IF(G41="Всього:",SUM($K$5:K40),IF(F41&lt;&gt;F40,(F41*O40/36000*(G41-CONCATENATE(DAY($C$4),".",MONTH(G40),".",YEAR(G40)))+(F40*O40/36000*(CONCATENATE(DAY($C$4),".",MONTH(G40),".",YEAR(G40))-G40))),F41*O40/36000*(G41-G40)))</f>
        <v>#VALUE!</v>
      </c>
      <c r="L41" s="160" t="e">
        <f ca="1">IF(G41="Всього:",SUM($L$5:L40),$E$4)</f>
        <v>#VALUE!</v>
      </c>
      <c r="M41" s="160" t="e">
        <f ca="1">IF(G41="Всього:",SUM($M$5:M40),IF($E$5="UAH",J41+L41+K41,J41+K41))</f>
        <v>#VALUE!</v>
      </c>
      <c r="N41" s="160" t="str">
        <f ca="1">IF(G41="Всього:",SUM($N$4:N40),IF($E$5="UAH","",L41))</f>
        <v/>
      </c>
      <c r="O41" s="160" t="e">
        <f t="shared" ca="1" si="0"/>
        <v>#VALUE!</v>
      </c>
    </row>
    <row r="42" spans="1:15" x14ac:dyDescent="0.3">
      <c r="F42" s="160" t="str">
        <f t="shared" ca="1" si="1"/>
        <v/>
      </c>
      <c r="G42" s="160">
        <f t="shared" ca="1" si="3"/>
        <v>47331</v>
      </c>
      <c r="H42" s="160">
        <f t="shared" ca="1" si="2"/>
        <v>38</v>
      </c>
      <c r="I42" s="160">
        <f ca="1">IF($G42="Всього:",SUM($I$4:I41),IF(AND(DAY($C$4)&gt;=15,H42=1),K42+L42,$C$32))</f>
        <v>3804</v>
      </c>
      <c r="J42" s="160" t="e">
        <f ca="1">IF($G42="Всього:",SUM($J$4:J41),IF(I42-SUM(K42:L42)&lt;0,0,I42-SUM(K42:L42)))</f>
        <v>#VALUE!</v>
      </c>
      <c r="K42" s="160" t="e">
        <f ca="1">IF(G42="Всього:",SUM($K$5:K41),IF(F42&lt;&gt;F41,(F42*O41/36000*(G42-CONCATENATE(DAY($C$4),".",MONTH(G41),".",YEAR(G41)))+(F41*O41/36000*(CONCATENATE(DAY($C$4),".",MONTH(G41),".",YEAR(G41))-G41))),F42*O41/36000*(G42-G41)))</f>
        <v>#VALUE!</v>
      </c>
      <c r="L42" s="160" t="e">
        <f ca="1">IF(G42="Всього:",SUM($L$5:L41),$E$4)</f>
        <v>#VALUE!</v>
      </c>
      <c r="M42" s="160" t="e">
        <f ca="1">IF(G42="Всього:",SUM($M$5:M41),IF($E$5="UAH",J42+L42+K42,J42+K42))</f>
        <v>#VALUE!</v>
      </c>
      <c r="N42" s="160" t="str">
        <f ca="1">IF(G42="Всього:",SUM($N$4:N41),IF($E$5="UAH","",L42))</f>
        <v/>
      </c>
      <c r="O42" s="160" t="e">
        <f t="shared" ca="1" si="0"/>
        <v>#VALUE!</v>
      </c>
    </row>
    <row r="43" spans="1:15" x14ac:dyDescent="0.3">
      <c r="F43" s="160" t="str">
        <f t="shared" ca="1" si="1"/>
        <v/>
      </c>
      <c r="G43" s="160">
        <f t="shared" ca="1" si="3"/>
        <v>47362</v>
      </c>
      <c r="H43" s="160">
        <f t="shared" ca="1" si="2"/>
        <v>39</v>
      </c>
      <c r="I43" s="160">
        <f ca="1">IF($G43="Всього:",SUM($I$4:I42),IF(AND(DAY($C$4)&gt;=15,H43=1),K43+L43,$C$32))</f>
        <v>3804</v>
      </c>
      <c r="J43" s="160" t="e">
        <f ca="1">IF($G43="Всього:",SUM($J$4:J42),IF(I43-SUM(K43:L43)&lt;0,0,I43-SUM(K43:L43)))</f>
        <v>#VALUE!</v>
      </c>
      <c r="K43" s="160" t="e">
        <f ca="1">IF(G43="Всього:",SUM($K$5:K42),IF(F43&lt;&gt;F42,(F43*O42/36000*(G43-CONCATENATE(DAY($C$4),".",MONTH(G42),".",YEAR(G42)))+(F42*O42/36000*(CONCATENATE(DAY($C$4),".",MONTH(G42),".",YEAR(G42))-G42))),F43*O42/36000*(G43-G42)))</f>
        <v>#VALUE!</v>
      </c>
      <c r="L43" s="160" t="e">
        <f ca="1">IF(G43="Всього:",SUM($L$5:L42),$E$4)</f>
        <v>#VALUE!</v>
      </c>
      <c r="M43" s="160" t="e">
        <f ca="1">IF(G43="Всього:",SUM($M$5:M42),IF($E$5="UAH",J43+L43+K43,J43+K43))</f>
        <v>#VALUE!</v>
      </c>
      <c r="N43" s="160" t="str">
        <f ca="1">IF(G43="Всього:",SUM($N$4:N42),IF($E$5="UAH","",L43))</f>
        <v/>
      </c>
      <c r="O43" s="160" t="e">
        <f t="shared" ca="1" si="0"/>
        <v>#VALUE!</v>
      </c>
    </row>
    <row r="44" spans="1:15" x14ac:dyDescent="0.3">
      <c r="F44" s="160" t="str">
        <f t="shared" ca="1" si="1"/>
        <v/>
      </c>
      <c r="G44" s="160">
        <f t="shared" ca="1" si="3"/>
        <v>47392</v>
      </c>
      <c r="H44" s="160">
        <f t="shared" ca="1" si="2"/>
        <v>40</v>
      </c>
      <c r="I44" s="160">
        <f ca="1">IF($G44="Всього:",SUM($I$4:I43),IF(AND(DAY($C$4)&gt;=15,H44=1),K44+L44,$C$32))</f>
        <v>3804</v>
      </c>
      <c r="J44" s="160" t="e">
        <f ca="1">IF($G44="Всього:",SUM($J$4:J43),IF(I44-SUM(K44:L44)&lt;0,0,I44-SUM(K44:L44)))</f>
        <v>#VALUE!</v>
      </c>
      <c r="K44" s="160" t="e">
        <f ca="1">IF(G44="Всього:",SUM($K$5:K43),IF(F44&lt;&gt;F43,(F44*O43/36000*(G44-CONCATENATE(DAY($C$4),".",MONTH(G43),".",YEAR(G43)))+(F43*O43/36000*(CONCATENATE(DAY($C$4),".",MONTH(G43),".",YEAR(G43))-G43))),F44*O43/36000*(G44-G43)))</f>
        <v>#VALUE!</v>
      </c>
      <c r="L44" s="160" t="e">
        <f ca="1">IF(G44="Всього:",SUM($L$5:L43),$E$4)</f>
        <v>#VALUE!</v>
      </c>
      <c r="M44" s="160" t="e">
        <f ca="1">IF(G44="Всього:",SUM($M$5:M43),IF($E$5="UAH",J44+L44+K44,J44+K44))</f>
        <v>#VALUE!</v>
      </c>
      <c r="N44" s="160" t="str">
        <f ca="1">IF(G44="Всього:",SUM($N$4:N43),IF($E$5="UAH","",L44))</f>
        <v/>
      </c>
      <c r="O44" s="160" t="e">
        <f t="shared" ca="1" si="0"/>
        <v>#VALUE!</v>
      </c>
    </row>
    <row r="45" spans="1:15" x14ac:dyDescent="0.3">
      <c r="F45" s="160" t="str">
        <f t="shared" ca="1" si="1"/>
        <v/>
      </c>
      <c r="G45" s="160">
        <f t="shared" ca="1" si="3"/>
        <v>47423</v>
      </c>
      <c r="H45" s="160">
        <f t="shared" ca="1" si="2"/>
        <v>41</v>
      </c>
      <c r="I45" s="160">
        <f ca="1">IF($G45="Всього:",SUM($I$4:I44),IF(AND(DAY($C$4)&gt;=15,H45=1),K45+L45,$C$32))</f>
        <v>3804</v>
      </c>
      <c r="J45" s="160" t="e">
        <f ca="1">IF($G45="Всього:",SUM($J$4:J44),IF(I45-SUM(K45:L45)&lt;0,0,I45-SUM(K45:L45)))</f>
        <v>#VALUE!</v>
      </c>
      <c r="K45" s="160" t="e">
        <f ca="1">IF(G45="Всього:",SUM($K$5:K44),IF(F45&lt;&gt;F44,(F45*O44/36000*(G45-CONCATENATE(DAY($C$4),".",MONTH(G44),".",YEAR(G44)))+(F44*O44/36000*(CONCATENATE(DAY($C$4),".",MONTH(G44),".",YEAR(G44))-G44))),F45*O44/36000*(G45-G44)))</f>
        <v>#VALUE!</v>
      </c>
      <c r="L45" s="160" t="e">
        <f ca="1">IF(G45="Всього:",SUM($L$5:L44),$E$4)</f>
        <v>#VALUE!</v>
      </c>
      <c r="M45" s="160" t="e">
        <f ca="1">IF(G45="Всього:",SUM($M$5:M44),IF($E$5="UAH",J45+L45+K45,J45+K45))</f>
        <v>#VALUE!</v>
      </c>
      <c r="N45" s="160" t="str">
        <f ca="1">IF(G45="Всього:",SUM($N$4:N44),IF($E$5="UAH","",L45))</f>
        <v/>
      </c>
      <c r="O45" s="160" t="e">
        <f t="shared" ca="1" si="0"/>
        <v>#VALUE!</v>
      </c>
    </row>
    <row r="46" spans="1:15" x14ac:dyDescent="0.3">
      <c r="F46" s="160" t="str">
        <f t="shared" ca="1" si="1"/>
        <v/>
      </c>
      <c r="G46" s="160">
        <f t="shared" ca="1" si="3"/>
        <v>47453</v>
      </c>
      <c r="H46" s="160">
        <f t="shared" ca="1" si="2"/>
        <v>42</v>
      </c>
      <c r="I46" s="160">
        <f ca="1">IF($G46="Всього:",SUM($I$4:I45),IF(AND(DAY($C$4)&gt;=15,H46=1),K46+L46,$C$32))</f>
        <v>3804</v>
      </c>
      <c r="J46" s="160" t="e">
        <f ca="1">IF($G46="Всього:",SUM($J$4:J45),IF(I46-SUM(K46:L46)&lt;0,0,I46-SUM(K46:L46)))</f>
        <v>#VALUE!</v>
      </c>
      <c r="K46" s="160" t="e">
        <f ca="1">IF(G46="Всього:",SUM($K$5:K45),IF(F46&lt;&gt;F45,(F46*O45/36000*(G46-CONCATENATE(DAY($C$4),".",MONTH(G45),".",YEAR(G45)))+(F45*O45/36000*(CONCATENATE(DAY($C$4),".",MONTH(G45),".",YEAR(G45))-G45))),F46*O45/36000*(G46-G45)))</f>
        <v>#VALUE!</v>
      </c>
      <c r="L46" s="160" t="e">
        <f ca="1">IF(G46="Всього:",SUM($L$5:L45),$E$4)</f>
        <v>#VALUE!</v>
      </c>
      <c r="M46" s="160" t="e">
        <f ca="1">IF(G46="Всього:",SUM($M$5:M45),IF($E$5="UAH",J46+L46+K46,J46+K46))</f>
        <v>#VALUE!</v>
      </c>
      <c r="N46" s="160" t="str">
        <f ca="1">IF(G46="Всього:",SUM($N$4:N45),IF($E$5="UAH","",L46))</f>
        <v/>
      </c>
      <c r="O46" s="160" t="e">
        <f t="shared" ca="1" si="0"/>
        <v>#VALUE!</v>
      </c>
    </row>
    <row r="47" spans="1:15" x14ac:dyDescent="0.3">
      <c r="F47" s="160" t="str">
        <f t="shared" ca="1" si="1"/>
        <v/>
      </c>
      <c r="G47" s="160">
        <f t="shared" ca="1" si="3"/>
        <v>47484</v>
      </c>
      <c r="H47" s="160">
        <f t="shared" ca="1" si="2"/>
        <v>43</v>
      </c>
      <c r="I47" s="160">
        <f ca="1">IF($G47="Всього:",SUM($I$4:I46),IF(AND(DAY($C$4)&gt;=15,H47=1),K47+L47,$C$32))</f>
        <v>3804</v>
      </c>
      <c r="J47" s="160" t="e">
        <f ca="1">IF($G47="Всього:",SUM($J$4:J46),IF(I47-SUM(K47:L47)&lt;0,0,I47-SUM(K47:L47)))</f>
        <v>#VALUE!</v>
      </c>
      <c r="K47" s="160" t="e">
        <f ca="1">IF(G47="Всього:",SUM($K$5:K46),IF(F47&lt;&gt;F46,(F47*O46/36000*(G47-CONCATENATE(DAY($C$4),".",MONTH(G46),".",YEAR(G46)))+(F46*O46/36000*(CONCATENATE(DAY($C$4),".",MONTH(G46),".",YEAR(G46))-G46))),F47*O46/36000*(G47-G46)))</f>
        <v>#VALUE!</v>
      </c>
      <c r="L47" s="160" t="e">
        <f ca="1">IF(G47="Всього:",SUM($L$5:L46),$E$4)</f>
        <v>#VALUE!</v>
      </c>
      <c r="M47" s="160" t="e">
        <f ca="1">IF(G47="Всього:",SUM($M$5:M46),IF($E$5="UAH",J47+L47+K47,J47+K47))</f>
        <v>#VALUE!</v>
      </c>
      <c r="N47" s="160" t="str">
        <f ca="1">IF(G47="Всього:",SUM($N$4:N46),IF($E$5="UAH","",L47))</f>
        <v/>
      </c>
      <c r="O47" s="160" t="e">
        <f t="shared" ca="1" si="0"/>
        <v>#VALUE!</v>
      </c>
    </row>
    <row r="48" spans="1:15" x14ac:dyDescent="0.3">
      <c r="F48" s="160" t="str">
        <f t="shared" ca="1" si="1"/>
        <v/>
      </c>
      <c r="G48" s="160">
        <f t="shared" ca="1" si="3"/>
        <v>47515</v>
      </c>
      <c r="H48" s="160">
        <f t="shared" ca="1" si="2"/>
        <v>44</v>
      </c>
      <c r="I48" s="160">
        <f ca="1">IF($G48="Всього:",SUM($I$4:I47),IF(AND(DAY($C$4)&gt;=15,H48=1),K48+L48,$C$32))</f>
        <v>3804</v>
      </c>
      <c r="J48" s="160" t="e">
        <f ca="1">IF($G48="Всього:",SUM($J$4:J47),IF(I48-SUM(K48:L48)&lt;0,0,I48-SUM(K48:L48)))</f>
        <v>#VALUE!</v>
      </c>
      <c r="K48" s="160" t="e">
        <f ca="1">IF(G48="Всього:",SUM($K$5:K47),IF(F48&lt;&gt;F47,(F48*O47/36000*(G48-CONCATENATE(DAY($C$4),".",MONTH(G47),".",YEAR(G47)))+(F47*O47/36000*(CONCATENATE(DAY($C$4),".",MONTH(G47),".",YEAR(G47))-G47))),F48*O47/36000*(G48-G47)))</f>
        <v>#VALUE!</v>
      </c>
      <c r="L48" s="160" t="e">
        <f ca="1">IF(G48="Всього:",SUM($L$5:L47),$E$4)</f>
        <v>#VALUE!</v>
      </c>
      <c r="M48" s="160" t="e">
        <f ca="1">IF(G48="Всього:",SUM($M$5:M47),IF($E$5="UAH",J48+L48+K48,J48+K48))</f>
        <v>#VALUE!</v>
      </c>
      <c r="N48" s="160" t="str">
        <f ca="1">IF(G48="Всього:",SUM($N$4:N47),IF($E$5="UAH","",L48))</f>
        <v/>
      </c>
      <c r="O48" s="160" t="e">
        <f t="shared" ca="1" si="0"/>
        <v>#VALUE!</v>
      </c>
    </row>
    <row r="49" spans="6:15" x14ac:dyDescent="0.3">
      <c r="F49" s="160" t="str">
        <f t="shared" ca="1" si="1"/>
        <v/>
      </c>
      <c r="G49" s="160">
        <f t="shared" ca="1" si="3"/>
        <v>47543</v>
      </c>
      <c r="H49" s="160">
        <f t="shared" ca="1" si="2"/>
        <v>45</v>
      </c>
      <c r="I49" s="160">
        <f ca="1">IF($G49="Всього:",SUM($I$4:I48),IF(AND(DAY($C$4)&gt;=15,H49=1),K49+L49,$C$32))</f>
        <v>3804</v>
      </c>
      <c r="J49" s="160" t="e">
        <f ca="1">IF($G49="Всього:",SUM($J$4:J48),IF(I49-SUM(K49:L49)&lt;0,0,I49-SUM(K49:L49)))</f>
        <v>#VALUE!</v>
      </c>
      <c r="K49" s="160" t="e">
        <f ca="1">IF(G49="Всього:",SUM($K$5:K48),IF(F49&lt;&gt;F48,(F49*O48/36000*(G49-CONCATENATE(DAY($C$4),".",MONTH(G48),".",YEAR(G48)))+(F48*O48/36000*(CONCATENATE(DAY($C$4),".",MONTH(G48),".",YEAR(G48))-G48))),F49*O48/36000*(G49-G48)))</f>
        <v>#VALUE!</v>
      </c>
      <c r="L49" s="160" t="e">
        <f ca="1">IF(G49="Всього:",SUM($L$5:L48),$E$4)</f>
        <v>#VALUE!</v>
      </c>
      <c r="M49" s="160" t="e">
        <f ca="1">IF(G49="Всього:",SUM($M$5:M48),IF($E$5="UAH",J49+L49+K49,J49+K49))</f>
        <v>#VALUE!</v>
      </c>
      <c r="N49" s="160" t="str">
        <f ca="1">IF(G49="Всього:",SUM($N$4:N48),IF($E$5="UAH","",L49))</f>
        <v/>
      </c>
      <c r="O49" s="160" t="e">
        <f t="shared" ca="1" si="0"/>
        <v>#VALUE!</v>
      </c>
    </row>
    <row r="50" spans="6:15" x14ac:dyDescent="0.3">
      <c r="F50" s="160" t="str">
        <f t="shared" ca="1" si="1"/>
        <v/>
      </c>
      <c r="G50" s="160">
        <f t="shared" ca="1" si="3"/>
        <v>47574</v>
      </c>
      <c r="H50" s="160">
        <f t="shared" ca="1" si="2"/>
        <v>46</v>
      </c>
      <c r="I50" s="160">
        <f ca="1">IF($G50="Всього:",SUM($I$4:I49),IF(AND(DAY($C$4)&gt;=15,H50=1),K50+L50,$C$32))</f>
        <v>3804</v>
      </c>
      <c r="J50" s="160" t="e">
        <f ca="1">IF($G50="Всього:",SUM($J$4:J49),IF(I50-SUM(K50:L50)&lt;0,0,I50-SUM(K50:L50)))</f>
        <v>#VALUE!</v>
      </c>
      <c r="K50" s="160" t="e">
        <f ca="1">IF(G50="Всього:",SUM($K$5:K49),IF(F50&lt;&gt;F49,(F50*O49/36000*(G50-CONCATENATE(DAY($C$4),".",MONTH(G49),".",YEAR(G49)))+(F49*O49/36000*(CONCATENATE(DAY($C$4),".",MONTH(G49),".",YEAR(G49))-G49))),F50*O49/36000*(G50-G49)))</f>
        <v>#VALUE!</v>
      </c>
      <c r="L50" s="160" t="e">
        <f ca="1">IF(G50="Всього:",SUM($L$5:L49),$E$4)</f>
        <v>#VALUE!</v>
      </c>
      <c r="M50" s="160" t="e">
        <f ca="1">IF(G50="Всього:",SUM($M$5:M49),IF($E$5="UAH",J50+L50+K50,J50+K50))</f>
        <v>#VALUE!</v>
      </c>
      <c r="N50" s="160" t="str">
        <f ca="1">IF(G50="Всього:",SUM($N$4:N49),IF($E$5="UAH","",L50))</f>
        <v/>
      </c>
      <c r="O50" s="160" t="e">
        <f t="shared" ca="1" si="0"/>
        <v>#VALUE!</v>
      </c>
    </row>
    <row r="51" spans="6:15" x14ac:dyDescent="0.3">
      <c r="F51" s="160" t="str">
        <f t="shared" ca="1" si="1"/>
        <v/>
      </c>
      <c r="G51" s="160">
        <f t="shared" ca="1" si="3"/>
        <v>47604</v>
      </c>
      <c r="H51" s="160">
        <f t="shared" ca="1" si="2"/>
        <v>47</v>
      </c>
      <c r="I51" s="160">
        <f ca="1">IF($G51="Всього:",SUM($I$4:I50),IF(AND(DAY($C$4)&gt;=15,H51=1),K51+L51,$C$32))</f>
        <v>3804</v>
      </c>
      <c r="J51" s="160" t="e">
        <f ca="1">IF($G51="Всього:",SUM($J$4:J50),IF(I51-SUM(K51:L51)&lt;0,0,I51-SUM(K51:L51)))</f>
        <v>#VALUE!</v>
      </c>
      <c r="K51" s="160" t="e">
        <f ca="1">IF(G51="Всього:",SUM($K$5:K50),IF(F51&lt;&gt;F50,(F51*O50/36000*(G51-CONCATENATE(DAY($C$4),".",MONTH(G50),".",YEAR(G50)))+(F50*O50/36000*(CONCATENATE(DAY($C$4),".",MONTH(G50),".",YEAR(G50))-G50))),F51*O50/36000*(G51-G50)))</f>
        <v>#VALUE!</v>
      </c>
      <c r="L51" s="160" t="e">
        <f ca="1">IF(G51="Всього:",SUM($L$5:L50),$E$4)</f>
        <v>#VALUE!</v>
      </c>
      <c r="M51" s="160" t="e">
        <f ca="1">IF(G51="Всього:",SUM($M$5:M50),IF($E$5="UAH",J51+L51+K51,J51+K51))</f>
        <v>#VALUE!</v>
      </c>
      <c r="N51" s="160" t="str">
        <f ca="1">IF(G51="Всього:",SUM($N$4:N50),IF($E$5="UAH","",L51))</f>
        <v/>
      </c>
      <c r="O51" s="160" t="e">
        <f t="shared" ca="1" si="0"/>
        <v>#VALUE!</v>
      </c>
    </row>
    <row r="52" spans="6:15" x14ac:dyDescent="0.3">
      <c r="F52" s="160" t="str">
        <f t="shared" ca="1" si="1"/>
        <v/>
      </c>
      <c r="G52" s="160">
        <f t="shared" ca="1" si="3"/>
        <v>47635</v>
      </c>
      <c r="H52" s="160">
        <f t="shared" ca="1" si="2"/>
        <v>48</v>
      </c>
      <c r="I52" s="160">
        <f ca="1">IF($G52="Всього:",SUM($I$4:I51),IF(AND(DAY($C$4)&gt;=15,H52=1),K52+L52,$C$32))</f>
        <v>3804</v>
      </c>
      <c r="J52" s="160" t="e">
        <f ca="1">IF($G52="Всього:",SUM($J$4:J51),IF(I52-SUM(K52:L52)&lt;0,0,I52-SUM(K52:L52)))</f>
        <v>#VALUE!</v>
      </c>
      <c r="K52" s="160" t="e">
        <f ca="1">IF(G52="Всього:",SUM($K$5:K51),IF(F52&lt;&gt;F51,(F52*O51/36000*(G52-CONCATENATE(DAY($C$4),".",MONTH(G51),".",YEAR(G51)))+(F51*O51/36000*(CONCATENATE(DAY($C$4),".",MONTH(G51),".",YEAR(G51))-G51))),F52*O51/36000*(G52-G51)))</f>
        <v>#VALUE!</v>
      </c>
      <c r="L52" s="160" t="e">
        <f ca="1">IF(G52="Всього:",SUM($L$5:L51),$E$4)</f>
        <v>#VALUE!</v>
      </c>
      <c r="M52" s="160" t="e">
        <f ca="1">IF(G52="Всього:",SUM($M$5:M51),IF($E$5="UAH",J52+L52+K52,J52+K52))</f>
        <v>#VALUE!</v>
      </c>
      <c r="N52" s="160" t="str">
        <f ca="1">IF(G52="Всього:",SUM($N$4:N51),IF($E$5="UAH","",L52))</f>
        <v/>
      </c>
      <c r="O52" s="160" t="e">
        <f t="shared" ca="1" si="0"/>
        <v>#VALUE!</v>
      </c>
    </row>
    <row r="53" spans="6:15" x14ac:dyDescent="0.3">
      <c r="F53" s="160" t="str">
        <f t="shared" ca="1" si="1"/>
        <v/>
      </c>
      <c r="G53" s="160">
        <f t="shared" ca="1" si="3"/>
        <v>47665</v>
      </c>
      <c r="H53" s="160">
        <f t="shared" ca="1" si="2"/>
        <v>49</v>
      </c>
      <c r="I53" s="160">
        <f ca="1">IF($G53="Всього:",SUM($I$4:I52),IF(AND(DAY($C$4)&gt;=15,H53=1),K53+L53,$C$32))</f>
        <v>3804</v>
      </c>
      <c r="J53" s="160" t="e">
        <f ca="1">IF($G53="Всього:",SUM($J$4:J52),IF(I53-SUM(K53:L53)&lt;0,0,I53-SUM(K53:L53)))</f>
        <v>#VALUE!</v>
      </c>
      <c r="K53" s="160" t="e">
        <f ca="1">IF(G53="Всього:",SUM($K$5:K52),IF(F53&lt;&gt;F52,(F53*O52/36000*(G53-CONCATENATE(DAY($C$4),".",MONTH(G52),".",YEAR(G52)))+(F52*O52/36000*(CONCATENATE(DAY($C$4),".",MONTH(G52),".",YEAR(G52))-G52))),F53*O52/36000*(G53-G52)))</f>
        <v>#VALUE!</v>
      </c>
      <c r="L53" s="160" t="e">
        <f ca="1">IF(G53="Всього:",SUM($L$5:L52),$E$4)</f>
        <v>#VALUE!</v>
      </c>
      <c r="M53" s="160" t="e">
        <f ca="1">IF(G53="Всього:",SUM($M$5:M52),IF($E$5="UAH",J53+L53+K53,J53+K53))</f>
        <v>#VALUE!</v>
      </c>
      <c r="N53" s="160" t="str">
        <f ca="1">IF(G53="Всього:",SUM($N$4:N52),IF($E$5="UAH","",L53))</f>
        <v/>
      </c>
      <c r="O53" s="160" t="e">
        <f t="shared" ca="1" si="0"/>
        <v>#VALUE!</v>
      </c>
    </row>
    <row r="54" spans="6:15" x14ac:dyDescent="0.3">
      <c r="F54" s="160" t="str">
        <f t="shared" ca="1" si="1"/>
        <v/>
      </c>
      <c r="G54" s="160">
        <f t="shared" ca="1" si="3"/>
        <v>47696</v>
      </c>
      <c r="H54" s="160">
        <f t="shared" ca="1" si="2"/>
        <v>50</v>
      </c>
      <c r="I54" s="160">
        <f ca="1">IF($G54="Всього:",SUM($I$4:I53),IF(AND(DAY($C$4)&gt;=15,H54=1),K54+L54,$C$32))</f>
        <v>3804</v>
      </c>
      <c r="J54" s="160" t="e">
        <f ca="1">IF($G54="Всього:",SUM($J$4:J53),IF(I54-SUM(K54:L54)&lt;0,0,I54-SUM(K54:L54)))</f>
        <v>#VALUE!</v>
      </c>
      <c r="K54" s="160" t="e">
        <f ca="1">IF(G54="Всього:",SUM($K$5:K53),IF(F54&lt;&gt;F53,(F54*O53/36000*(G54-CONCATENATE(DAY($C$4),".",MONTH(G53),".",YEAR(G53)))+(F53*O53/36000*(CONCATENATE(DAY($C$4),".",MONTH(G53),".",YEAR(G53))-G53))),F54*O53/36000*(G54-G53)))</f>
        <v>#VALUE!</v>
      </c>
      <c r="L54" s="160" t="e">
        <f ca="1">IF(G54="Всього:",SUM($L$5:L53),$E$4)</f>
        <v>#VALUE!</v>
      </c>
      <c r="M54" s="160" t="e">
        <f ca="1">IF(G54="Всього:",SUM($M$5:M53),IF($E$5="UAH",J54+L54+K54,J54+K54))</f>
        <v>#VALUE!</v>
      </c>
      <c r="N54" s="160" t="str">
        <f ca="1">IF(G54="Всього:",SUM($N$4:N53),IF($E$5="UAH","",L54))</f>
        <v/>
      </c>
      <c r="O54" s="160" t="e">
        <f t="shared" ca="1" si="0"/>
        <v>#VALUE!</v>
      </c>
    </row>
    <row r="55" spans="6:15" x14ac:dyDescent="0.3">
      <c r="F55" s="160" t="str">
        <f t="shared" ca="1" si="1"/>
        <v/>
      </c>
      <c r="G55" s="160">
        <f t="shared" ca="1" si="3"/>
        <v>47727</v>
      </c>
      <c r="H55" s="160">
        <f t="shared" ca="1" si="2"/>
        <v>51</v>
      </c>
      <c r="I55" s="160">
        <f ca="1">IF($G55="Всього:",SUM($I$4:I54),IF(AND(DAY($C$4)&gt;=15,H55=1),K55+L55,$C$32))</f>
        <v>3804</v>
      </c>
      <c r="J55" s="160" t="e">
        <f ca="1">IF($G55="Всього:",SUM($J$4:J54),IF(I55-SUM(K55:L55)&lt;0,0,I55-SUM(K55:L55)))</f>
        <v>#VALUE!</v>
      </c>
      <c r="K55" s="160" t="e">
        <f ca="1">IF(G55="Всього:",SUM($K$5:K54),IF(F55&lt;&gt;F54,(F55*O54/36000*(G55-CONCATENATE(DAY($C$4),".",MONTH(G54),".",YEAR(G54)))+(F54*O54/36000*(CONCATENATE(DAY($C$4),".",MONTH(G54),".",YEAR(G54))-G54))),F55*O54/36000*(G55-G54)))</f>
        <v>#VALUE!</v>
      </c>
      <c r="L55" s="160" t="e">
        <f ca="1">IF(G55="Всього:",SUM($L$5:L54),$E$4)</f>
        <v>#VALUE!</v>
      </c>
      <c r="M55" s="160" t="e">
        <f ca="1">IF(G55="Всього:",SUM($M$5:M54),IF($E$5="UAH",J55+L55+K55,J55+K55))</f>
        <v>#VALUE!</v>
      </c>
      <c r="N55" s="160" t="str">
        <f ca="1">IF(G55="Всього:",SUM($N$4:N54),IF($E$5="UAH","",L55))</f>
        <v/>
      </c>
      <c r="O55" s="160" t="e">
        <f t="shared" ca="1" si="0"/>
        <v>#VALUE!</v>
      </c>
    </row>
    <row r="56" spans="6:15" x14ac:dyDescent="0.3">
      <c r="F56" s="160" t="str">
        <f t="shared" ca="1" si="1"/>
        <v/>
      </c>
      <c r="G56" s="160">
        <f t="shared" ca="1" si="3"/>
        <v>47757</v>
      </c>
      <c r="H56" s="160">
        <f t="shared" ca="1" si="2"/>
        <v>52</v>
      </c>
      <c r="I56" s="160">
        <f ca="1">IF($G56="Всього:",SUM($I$4:I55),IF(AND(DAY($C$4)&gt;=15,H56=1),K56+L56,$C$32))</f>
        <v>3804</v>
      </c>
      <c r="J56" s="160" t="e">
        <f ca="1">IF($G56="Всього:",SUM($J$4:J55),IF(I56-SUM(K56:L56)&lt;0,0,I56-SUM(K56:L56)))</f>
        <v>#VALUE!</v>
      </c>
      <c r="K56" s="160" t="e">
        <f ca="1">IF(G56="Всього:",SUM($K$5:K55),IF(F56&lt;&gt;F55,(F56*O55/36000*(G56-CONCATENATE(DAY($C$4),".",MONTH(G55),".",YEAR(G55)))+(F55*O55/36000*(CONCATENATE(DAY($C$4),".",MONTH(G55),".",YEAR(G55))-G55))),F56*O55/36000*(G56-G55)))</f>
        <v>#VALUE!</v>
      </c>
      <c r="L56" s="160" t="e">
        <f ca="1">IF(G56="Всього:",SUM($L$5:L55),$E$4)</f>
        <v>#VALUE!</v>
      </c>
      <c r="M56" s="160" t="e">
        <f ca="1">IF(G56="Всього:",SUM($M$5:M55),IF($E$5="UAH",J56+L56+K56,J56+K56))</f>
        <v>#VALUE!</v>
      </c>
      <c r="N56" s="160" t="str">
        <f ca="1">IF(G56="Всього:",SUM($N$4:N55),IF($E$5="UAH","",L56))</f>
        <v/>
      </c>
      <c r="O56" s="160" t="e">
        <f t="shared" ca="1" si="0"/>
        <v>#VALUE!</v>
      </c>
    </row>
    <row r="57" spans="6:15" x14ac:dyDescent="0.3">
      <c r="F57" s="160" t="str">
        <f t="shared" ca="1" si="1"/>
        <v/>
      </c>
      <c r="G57" s="160">
        <f t="shared" ca="1" si="3"/>
        <v>47788</v>
      </c>
      <c r="H57" s="160">
        <f t="shared" ca="1" si="2"/>
        <v>53</v>
      </c>
      <c r="I57" s="160">
        <f ca="1">IF($G57="Всього:",SUM($I$4:I56),IF(AND(DAY($C$4)&gt;=15,H57=1),K57+L57,$C$32))</f>
        <v>3804</v>
      </c>
      <c r="J57" s="160" t="e">
        <f ca="1">IF($G57="Всього:",SUM($J$4:J56),IF(I57-SUM(K57:L57)&lt;0,0,I57-SUM(K57:L57)))</f>
        <v>#VALUE!</v>
      </c>
      <c r="K57" s="160" t="e">
        <f ca="1">IF(G57="Всього:",SUM($K$5:K56),IF(F57&lt;&gt;F56,(F57*O56/36000*(G57-CONCATENATE(DAY($C$4),".",MONTH(G56),".",YEAR(G56)))+(F56*O56/36000*(CONCATENATE(DAY($C$4),".",MONTH(G56),".",YEAR(G56))-G56))),F57*O56/36000*(G57-G56)))</f>
        <v>#VALUE!</v>
      </c>
      <c r="L57" s="160" t="e">
        <f ca="1">IF(G57="Всього:",SUM($L$5:L56),$E$4)</f>
        <v>#VALUE!</v>
      </c>
      <c r="M57" s="160" t="e">
        <f ca="1">IF(G57="Всього:",SUM($M$5:M56),IF($E$5="UAH",J57+L57+K57,J57+K57))</f>
        <v>#VALUE!</v>
      </c>
      <c r="N57" s="160" t="str">
        <f ca="1">IF(G57="Всього:",SUM($N$4:N56),IF($E$5="UAH","",L57))</f>
        <v/>
      </c>
      <c r="O57" s="160" t="e">
        <f t="shared" ca="1" si="0"/>
        <v>#VALUE!</v>
      </c>
    </row>
    <row r="58" spans="6:15" x14ac:dyDescent="0.3">
      <c r="F58" s="160" t="str">
        <f t="shared" ca="1" si="1"/>
        <v/>
      </c>
      <c r="G58" s="160">
        <f t="shared" ca="1" si="3"/>
        <v>47818</v>
      </c>
      <c r="H58" s="160">
        <f t="shared" ca="1" si="2"/>
        <v>54</v>
      </c>
      <c r="I58" s="160">
        <f ca="1">IF($G58="Всього:",SUM($I$4:I57),IF(AND(DAY($C$4)&gt;=15,H58=1),K58+L58,$C$32))</f>
        <v>3804</v>
      </c>
      <c r="J58" s="160" t="e">
        <f ca="1">IF($G58="Всього:",SUM($J$4:J57),IF(I58-SUM(K58:L58)&lt;0,0,I58-SUM(K58:L58)))</f>
        <v>#VALUE!</v>
      </c>
      <c r="K58" s="160" t="e">
        <f ca="1">IF(G58="Всього:",SUM($K$5:K57),IF(F58&lt;&gt;F57,(F58*O57/36000*(G58-CONCATENATE(DAY($C$4),".",MONTH(G57),".",YEAR(G57)))+(F57*O57/36000*(CONCATENATE(DAY($C$4),".",MONTH(G57),".",YEAR(G57))-G57))),F58*O57/36000*(G58-G57)))</f>
        <v>#VALUE!</v>
      </c>
      <c r="L58" s="160" t="e">
        <f ca="1">IF(G58="Всього:",SUM($L$5:L57),$E$4)</f>
        <v>#VALUE!</v>
      </c>
      <c r="M58" s="160" t="e">
        <f ca="1">IF(G58="Всього:",SUM($M$5:M57),IF($E$5="UAH",J58+L58+K58,J58+K58))</f>
        <v>#VALUE!</v>
      </c>
      <c r="N58" s="160" t="str">
        <f ca="1">IF(G58="Всього:",SUM($N$4:N57),IF($E$5="UAH","",L58))</f>
        <v/>
      </c>
      <c r="O58" s="160" t="e">
        <f t="shared" ca="1" si="0"/>
        <v>#VALUE!</v>
      </c>
    </row>
    <row r="59" spans="6:15" x14ac:dyDescent="0.3">
      <c r="F59" s="160" t="str">
        <f t="shared" ca="1" si="1"/>
        <v/>
      </c>
      <c r="G59" s="160">
        <f t="shared" ca="1" si="3"/>
        <v>47849</v>
      </c>
      <c r="H59" s="160">
        <f t="shared" ca="1" si="2"/>
        <v>55</v>
      </c>
      <c r="I59" s="160">
        <f ca="1">IF($G59="Всього:",SUM($I$4:I58),IF(AND(DAY($C$4)&gt;=15,H59=1),K59+L59,$C$32))</f>
        <v>3804</v>
      </c>
      <c r="J59" s="160" t="e">
        <f ca="1">IF($G59="Всього:",SUM($J$4:J58),IF(I59-SUM(K59:L59)&lt;0,0,I59-SUM(K59:L59)))</f>
        <v>#VALUE!</v>
      </c>
      <c r="K59" s="160" t="e">
        <f ca="1">IF(G59="Всього:",SUM($K$5:K58),IF(F59&lt;&gt;F58,(F59*O58/36000*(G59-CONCATENATE(DAY($C$4),".",MONTH(G58),".",YEAR(G58)))+(F58*O58/36000*(CONCATENATE(DAY($C$4),".",MONTH(G58),".",YEAR(G58))-G58))),F59*O58/36000*(G59-G58)))</f>
        <v>#VALUE!</v>
      </c>
      <c r="L59" s="160" t="e">
        <f ca="1">IF(G59="Всього:",SUM($L$5:L58),$E$4)</f>
        <v>#VALUE!</v>
      </c>
      <c r="M59" s="160" t="e">
        <f ca="1">IF(G59="Всього:",SUM($M$5:M58),IF($E$5="UAH",J59+L59+K59,J59+K59))</f>
        <v>#VALUE!</v>
      </c>
      <c r="N59" s="160" t="str">
        <f ca="1">IF(G59="Всього:",SUM($N$4:N58),IF($E$5="UAH","",L59))</f>
        <v/>
      </c>
      <c r="O59" s="160" t="e">
        <f t="shared" ca="1" si="0"/>
        <v>#VALUE!</v>
      </c>
    </row>
    <row r="60" spans="6:15" x14ac:dyDescent="0.3">
      <c r="F60" s="160" t="str">
        <f t="shared" ca="1" si="1"/>
        <v/>
      </c>
      <c r="G60" s="160">
        <f t="shared" ca="1" si="3"/>
        <v>47880</v>
      </c>
      <c r="H60" s="160">
        <f t="shared" ca="1" si="2"/>
        <v>56</v>
      </c>
      <c r="I60" s="160">
        <f ca="1">IF($G60="Всього:",SUM($I$4:I59),IF(AND(DAY($C$4)&gt;=15,H60=1),K60+L60,$C$32))</f>
        <v>3804</v>
      </c>
      <c r="J60" s="160" t="e">
        <f ca="1">IF($G60="Всього:",SUM($J$4:J59),IF(I60-SUM(K60:L60)&lt;0,0,I60-SUM(K60:L60)))</f>
        <v>#VALUE!</v>
      </c>
      <c r="K60" s="160" t="e">
        <f ca="1">IF(G60="Всього:",SUM($K$5:K59),IF(F60&lt;&gt;F59,(F60*O59/36000*(G60-CONCATENATE(DAY($C$4),".",MONTH(G59),".",YEAR(G59)))+(F59*O59/36000*(CONCATENATE(DAY($C$4),".",MONTH(G59),".",YEAR(G59))-G59))),F60*O59/36000*(G60-G59)))</f>
        <v>#VALUE!</v>
      </c>
      <c r="L60" s="160" t="e">
        <f ca="1">IF(G60="Всього:",SUM($L$5:L59),$E$4)</f>
        <v>#VALUE!</v>
      </c>
      <c r="M60" s="160" t="e">
        <f ca="1">IF(G60="Всього:",SUM($M$5:M59),IF($E$5="UAH",J60+L60+K60,J60+K60))</f>
        <v>#VALUE!</v>
      </c>
      <c r="N60" s="160" t="str">
        <f ca="1">IF(G60="Всього:",SUM($N$4:N59),IF($E$5="UAH","",L60))</f>
        <v/>
      </c>
      <c r="O60" s="160" t="e">
        <f t="shared" ca="1" si="0"/>
        <v>#VALUE!</v>
      </c>
    </row>
    <row r="61" spans="6:15" x14ac:dyDescent="0.3">
      <c r="F61" s="160" t="str">
        <f t="shared" ca="1" si="1"/>
        <v/>
      </c>
      <c r="G61" s="160">
        <f t="shared" ca="1" si="3"/>
        <v>47908</v>
      </c>
      <c r="H61" s="160">
        <f t="shared" ca="1" si="2"/>
        <v>57</v>
      </c>
      <c r="I61" s="160">
        <f ca="1">IF($G61="Всього:",SUM($I$4:I60),IF(AND(DAY($C$4)&gt;=15,H61=1),K61+L61,$C$32))</f>
        <v>3804</v>
      </c>
      <c r="J61" s="160" t="e">
        <f ca="1">IF($G61="Всього:",SUM($J$4:J60),IF(I61-SUM(K61:L61)&lt;0,0,I61-SUM(K61:L61)))</f>
        <v>#VALUE!</v>
      </c>
      <c r="K61" s="160" t="e">
        <f ca="1">IF(G61="Всього:",SUM($K$5:K60),IF(F61&lt;&gt;F60,(F61*O60/36000*(G61-CONCATENATE(DAY($C$4),".",MONTH(G60),".",YEAR(G60)))+(F60*O60/36000*(CONCATENATE(DAY($C$4),".",MONTH(G60),".",YEAR(G60))-G60))),F61*O60/36000*(G61-G60)))</f>
        <v>#VALUE!</v>
      </c>
      <c r="L61" s="160" t="e">
        <f ca="1">IF(G61="Всього:",SUM($L$5:L60),$E$4)</f>
        <v>#VALUE!</v>
      </c>
      <c r="M61" s="160" t="e">
        <f ca="1">IF(G61="Всього:",SUM($M$5:M60),IF($E$5="UAH",J61+L61+K61,J61+K61))</f>
        <v>#VALUE!</v>
      </c>
      <c r="N61" s="160" t="str">
        <f ca="1">IF(G61="Всього:",SUM($N$4:N60),IF($E$5="UAH","",L61))</f>
        <v/>
      </c>
      <c r="O61" s="160" t="e">
        <f t="shared" ca="1" si="0"/>
        <v>#VALUE!</v>
      </c>
    </row>
    <row r="62" spans="6:15" x14ac:dyDescent="0.3">
      <c r="F62" s="160" t="str">
        <f t="shared" ca="1" si="1"/>
        <v/>
      </c>
      <c r="G62" s="160">
        <f t="shared" ca="1" si="3"/>
        <v>47939</v>
      </c>
      <c r="H62" s="160">
        <f t="shared" ca="1" si="2"/>
        <v>58</v>
      </c>
      <c r="I62" s="160">
        <f ca="1">IF($G62="Всього:",SUM($I$4:I61),IF(AND(DAY($C$4)&gt;=15,H62=1),K62+L62,$C$32))</f>
        <v>3804</v>
      </c>
      <c r="J62" s="160" t="e">
        <f ca="1">IF($G62="Всього:",SUM($J$4:J61),IF(I62-SUM(K62:L62)&lt;0,0,I62-SUM(K62:L62)))</f>
        <v>#VALUE!</v>
      </c>
      <c r="K62" s="160" t="e">
        <f ca="1">IF(G62="Всього:",SUM($K$5:K61),IF(F62&lt;&gt;F61,(F62*O61/36000*(G62-CONCATENATE(DAY($C$4),".",MONTH(G61),".",YEAR(G61)))+(F61*O61/36000*(CONCATENATE(DAY($C$4),".",MONTH(G61),".",YEAR(G61))-G61))),F62*O61/36000*(G62-G61)))</f>
        <v>#VALUE!</v>
      </c>
      <c r="L62" s="160" t="e">
        <f ca="1">IF(G62="Всього:",SUM($L$5:L61),$E$4)</f>
        <v>#VALUE!</v>
      </c>
      <c r="M62" s="160" t="e">
        <f ca="1">IF(G62="Всього:",SUM($M$5:M61),IF($E$5="UAH",J62+L62+K62,J62+K62))</f>
        <v>#VALUE!</v>
      </c>
      <c r="N62" s="160" t="str">
        <f ca="1">IF(G62="Всього:",SUM($N$4:N61),IF($E$5="UAH","",L62))</f>
        <v/>
      </c>
      <c r="O62" s="160" t="e">
        <f t="shared" ca="1" si="0"/>
        <v>#VALUE!</v>
      </c>
    </row>
    <row r="63" spans="6:15" x14ac:dyDescent="0.3">
      <c r="F63" s="160" t="str">
        <f t="shared" ca="1" si="1"/>
        <v/>
      </c>
      <c r="G63" s="160">
        <f t="shared" ca="1" si="3"/>
        <v>47969</v>
      </c>
      <c r="H63" s="160">
        <f t="shared" ca="1" si="2"/>
        <v>59</v>
      </c>
      <c r="I63" s="160">
        <f ca="1">IF($G63="Всього:",SUM($I$4:I62),IF(AND(DAY($C$4)&gt;=15,H63=1),K63+L63,$C$32))</f>
        <v>3804</v>
      </c>
      <c r="J63" s="160" t="e">
        <f ca="1">IF($G63="Всього:",SUM($J$4:J62),IF(I63-SUM(K63:L63)&lt;0,0,I63-SUM(K63:L63)))</f>
        <v>#VALUE!</v>
      </c>
      <c r="K63" s="160" t="e">
        <f ca="1">IF(G63="Всього:",SUM($K$5:K62),IF(F63&lt;&gt;F62,(F63*O62/36000*(G63-CONCATENATE(DAY($C$4),".",MONTH(G62),".",YEAR(G62)))+(F62*O62/36000*(CONCATENATE(DAY($C$4),".",MONTH(G62),".",YEAR(G62))-G62))),F63*O62/36000*(G63-G62)))</f>
        <v>#VALUE!</v>
      </c>
      <c r="L63" s="160" t="e">
        <f ca="1">IF(G63="Всього:",SUM($L$5:L62),$E$4)</f>
        <v>#VALUE!</v>
      </c>
      <c r="M63" s="160" t="e">
        <f ca="1">IF(G63="Всього:",SUM($M$5:M62),IF($E$5="UAH",J63+L63+K63,J63+K63))</f>
        <v>#VALUE!</v>
      </c>
      <c r="N63" s="160" t="str">
        <f ca="1">IF(G63="Всього:",SUM($N$4:N62),IF($E$5="UAH","",L63))</f>
        <v/>
      </c>
      <c r="O63" s="160" t="e">
        <f t="shared" ca="1" si="0"/>
        <v>#VALUE!</v>
      </c>
    </row>
    <row r="64" spans="6:15" x14ac:dyDescent="0.3">
      <c r="F64" s="160" t="str">
        <f t="shared" ca="1" si="1"/>
        <v/>
      </c>
      <c r="G64" s="160">
        <f t="shared" ca="1" si="3"/>
        <v>48000</v>
      </c>
      <c r="H64" s="160">
        <f t="shared" ca="1" si="2"/>
        <v>60</v>
      </c>
      <c r="I64" s="160">
        <f ca="1">IF($G64="Всього:",SUM($I$4:I63),IF(AND(DAY($C$4)&gt;=15,H64=1),K64+L64,$C$32))</f>
        <v>3804</v>
      </c>
      <c r="J64" s="160" t="e">
        <f ca="1">IF($G64="Всього:",SUM($J$4:J63),IF(I64-SUM(K64:L64)&lt;0,0,I64-SUM(K64:L64)))</f>
        <v>#VALUE!</v>
      </c>
      <c r="K64" s="160" t="e">
        <f ca="1">IF(G64="Всього:",SUM($K$5:K63),IF(F64&lt;&gt;F63,(F64*O63/36000*(G64-CONCATENATE(DAY($C$4),".",MONTH(G63),".",YEAR(G63)))+(F63*O63/36000*(CONCATENATE(DAY($C$4),".",MONTH(G63),".",YEAR(G63))-G63))),F64*O63/36000*(G64-G63)))</f>
        <v>#VALUE!</v>
      </c>
      <c r="L64" s="160" t="e">
        <f ca="1">IF(G64="Всього:",SUM($L$5:L63),$E$4)</f>
        <v>#VALUE!</v>
      </c>
      <c r="M64" s="160" t="e">
        <f ca="1">IF(G64="Всього:",SUM($M$5:M63),IF($E$5="UAH",J64+L64+K64,J64+K64))</f>
        <v>#VALUE!</v>
      </c>
      <c r="N64" s="160" t="str">
        <f ca="1">IF(G64="Всього:",SUM($N$4:N63),IF($E$5="UAH","",L64))</f>
        <v/>
      </c>
      <c r="O64" s="160" t="e">
        <f t="shared" ca="1" si="0"/>
        <v>#VALUE!</v>
      </c>
    </row>
    <row r="65" spans="6:15" x14ac:dyDescent="0.3">
      <c r="F65" s="160" t="str">
        <f t="shared" ca="1" si="1"/>
        <v/>
      </c>
      <c r="G65" s="160">
        <f t="shared" ca="1" si="3"/>
        <v>48006</v>
      </c>
      <c r="H65" s="160">
        <f t="shared" ca="1" si="2"/>
        <v>61</v>
      </c>
      <c r="I65" s="160">
        <f ca="1">IF($G65="Всього:",SUM($I$4:I64),IF(AND(DAY($C$4)&gt;=15,H65=1),K65+L65,$C$32))</f>
        <v>3804</v>
      </c>
      <c r="J65" s="160" t="e">
        <f ca="1">IF($G65="Всього:",SUM($J$4:J64),IF(I65-SUM(K65:L65)&lt;0,0,I65-SUM(K65:L65)))</f>
        <v>#VALUE!</v>
      </c>
      <c r="K65" s="160" t="e">
        <f ca="1">IF(G65="Всього:",SUM($K$5:K64),IF(F65&lt;&gt;F64,(F65*O64/36000*(G65-CONCATENATE(DAY($C$4),".",MONTH(G64),".",YEAR(G64)))+(F64*O64/36000*(CONCATENATE(DAY($C$4),".",MONTH(G64),".",YEAR(G64))-G64))),F65*O64/36000*(G65-G64)))</f>
        <v>#VALUE!</v>
      </c>
      <c r="L65" s="160" t="e">
        <f ca="1">IF(G65="Всього:",SUM($L$5:L64),$E$4)</f>
        <v>#VALUE!</v>
      </c>
      <c r="M65" s="160" t="e">
        <f ca="1">IF(G65="Всього:",SUM($M$5:M64),IF($E$5="UAH",J65+L65+K65,J65+K65))</f>
        <v>#VALUE!</v>
      </c>
      <c r="N65" s="160" t="str">
        <f ca="1">IF(G65="Всього:",SUM($N$4:N64),IF($E$5="UAH","",L65))</f>
        <v/>
      </c>
      <c r="O65" s="160" t="e">
        <f t="shared" ca="1" si="0"/>
        <v>#VALUE!</v>
      </c>
    </row>
    <row r="66" spans="6:15" x14ac:dyDescent="0.3">
      <c r="F66" s="160" t="str">
        <f t="shared" ca="1" si="1"/>
        <v/>
      </c>
      <c r="G66" s="160" t="str">
        <f t="shared" ca="1" si="3"/>
        <v>Всього:</v>
      </c>
      <c r="H66" s="160">
        <f t="shared" ca="1" si="2"/>
        <v>62</v>
      </c>
      <c r="I66" s="160">
        <f ca="1">IF($G66="Всього:",SUM($I$4:I65),IF(AND(DAY($C$4)&gt;=15,H66=1),K66+L66,$C$32))</f>
        <v>232044</v>
      </c>
      <c r="J66" s="160" t="e">
        <f ca="1">IF($G66="Всього:",SUM($J$4:J65),IF(I66-SUM(K66:L66)&lt;0,0,I66-SUM(K66:L66)))</f>
        <v>#VALUE!</v>
      </c>
      <c r="K66" s="160" t="e">
        <f ca="1">IF(G66="Всього:",SUM($K$5:K65),IF(F66&lt;&gt;F65,(F66*O65/36000*(G66-CONCATENATE(DAY($C$4),".",MONTH(G65),".",YEAR(G65)))+(F65*O65/36000*(CONCATENATE(DAY($C$4),".",MONTH(G65),".",YEAR(G65))-G65))),F66*O65/36000*(G66-G65)))</f>
        <v>#VALUE!</v>
      </c>
      <c r="L66" s="160" t="e">
        <f ca="1">IF(G66="Всього:",SUM($L$5:L65),$E$4)</f>
        <v>#VALUE!</v>
      </c>
      <c r="M66" s="160" t="e">
        <f ca="1">IF(G66="Всього:",SUM($M$5:M65),IF($E$5="UAH",J66+L66+K66,J66+K66))</f>
        <v>#VALUE!</v>
      </c>
      <c r="N66" s="160">
        <f ca="1">IF(G66="Всього:",SUM($N$4:N65),IF($E$5="UAH","",L66))</f>
        <v>0</v>
      </c>
      <c r="O66" s="160" t="e">
        <f t="shared" ca="1" si="0"/>
        <v>#VALUE!</v>
      </c>
    </row>
    <row r="67" spans="6:15" x14ac:dyDescent="0.3">
      <c r="F67" s="160" t="e">
        <f t="shared" ca="1" si="1"/>
        <v>#VALUE!</v>
      </c>
      <c r="G67" s="160" t="e">
        <f t="shared" ca="1" si="3"/>
        <v>#VALUE!</v>
      </c>
      <c r="H67" s="160" t="str">
        <f t="shared" ca="1" si="2"/>
        <v/>
      </c>
      <c r="I67" s="160" t="e">
        <f ca="1">IF($G67="Всього:",SUM($I$4:I66),IF(AND(DAY($C$4)&gt;=15,H67=1),K67+L67,$C$32))</f>
        <v>#VALUE!</v>
      </c>
      <c r="J67" s="160" t="e">
        <f ca="1">IF($G67="Всього:",SUM($J$4:J66),IF(I67-SUM(K67:L67)&lt;0,0,I67-SUM(K67:L67)))</f>
        <v>#VALUE!</v>
      </c>
      <c r="K67" s="160" t="e">
        <f ca="1">IF(G67="Всього:",SUM($K$5:K66),IF(F67&lt;&gt;F66,(F67*O66/36000*(G67-CONCATENATE(DAY($C$4),".",MONTH(G66),".",YEAR(G66)))+(F66*O66/36000*(CONCATENATE(DAY($C$4),".",MONTH(G66),".",YEAR(G66))-G66))),F67*O66/36000*(G67-G66)))</f>
        <v>#VALUE!</v>
      </c>
      <c r="L67" s="160" t="e">
        <f ca="1">IF(G67="Всього:",SUM($L$5:L66),$E$4)</f>
        <v>#VALUE!</v>
      </c>
      <c r="M67" s="160" t="e">
        <f ca="1">IF(G67="Всього:",SUM($M$5:M66),IF($E$5="UAH",J67+L67+K67,J67+K67))</f>
        <v>#VALUE!</v>
      </c>
      <c r="N67" s="160" t="e">
        <f ca="1">IF(G67="Всього:",SUM($N$4:N66),IF($E$5="UAH","",L67))</f>
        <v>#VALUE!</v>
      </c>
      <c r="O67" s="160" t="e">
        <f t="shared" ca="1" si="0"/>
        <v>#VALUE!</v>
      </c>
    </row>
    <row r="68" spans="6:15" x14ac:dyDescent="0.3">
      <c r="F68" s="160" t="e">
        <f t="shared" ca="1" si="1"/>
        <v>#VALUE!</v>
      </c>
      <c r="G68" s="160" t="e">
        <f t="shared" ca="1" si="3"/>
        <v>#VALUE!</v>
      </c>
      <c r="H68" s="160" t="str">
        <f t="shared" ca="1" si="2"/>
        <v/>
      </c>
      <c r="I68" s="160" t="e">
        <f ca="1">IF($G68="Всього:",SUM($I$4:I67),IF(AND(DAY($C$4)&gt;=15,H68=1),K68+L68,$C$32))</f>
        <v>#VALUE!</v>
      </c>
      <c r="J68" s="160" t="e">
        <f ca="1">IF($G68="Всього:",SUM($J$4:J67),IF(I68-SUM(K68:L68)&lt;0,0,I68-SUM(K68:L68)))</f>
        <v>#VALUE!</v>
      </c>
      <c r="K68" s="160" t="e">
        <f ca="1">IF(G68="Всього:",SUM($K$5:K67),IF(F68&lt;&gt;F67,(F68*O67/36000*(G68-CONCATENATE(DAY($C$4),".",MONTH(G67),".",YEAR(G67)))+(F67*O67/36000*(CONCATENATE(DAY($C$4),".",MONTH(G67),".",YEAR(G67))-G67))),F68*O67/36000*(G68-G67)))</f>
        <v>#VALUE!</v>
      </c>
      <c r="L68" s="160" t="e">
        <f ca="1">IF(G68="Всього:",SUM($L$5:L67),$E$4)</f>
        <v>#VALUE!</v>
      </c>
      <c r="M68" s="160" t="e">
        <f ca="1">IF(G68="Всього:",SUM($M$5:M67),IF($E$5="UAH",J68+L68+K68,J68+K68))</f>
        <v>#VALUE!</v>
      </c>
      <c r="N68" s="160" t="e">
        <f ca="1">IF(G68="Всього:",SUM($N$4:N67),IF($E$5="UAH","",L68))</f>
        <v>#VALUE!</v>
      </c>
      <c r="O68" s="160" t="e">
        <f t="shared" ca="1" si="0"/>
        <v>#VALUE!</v>
      </c>
    </row>
    <row r="69" spans="6:15" x14ac:dyDescent="0.3">
      <c r="F69" s="160" t="e">
        <f t="shared" ca="1" si="1"/>
        <v>#VALUE!</v>
      </c>
      <c r="G69" s="160" t="e">
        <f t="shared" ca="1" si="3"/>
        <v>#VALUE!</v>
      </c>
      <c r="H69" s="160" t="str">
        <f t="shared" ca="1" si="2"/>
        <v/>
      </c>
      <c r="I69" s="160" t="e">
        <f ca="1">IF($G69="Всього:",SUM($I$4:I68),IF(AND(DAY($C$4)&gt;=15,H69=1),K69+L69,$C$32))</f>
        <v>#VALUE!</v>
      </c>
      <c r="J69" s="160" t="e">
        <f ca="1">IF($G69="Всього:",SUM($J$4:J68),IF(I69-SUM(K69:L69)&lt;0,0,I69-SUM(K69:L69)))</f>
        <v>#VALUE!</v>
      </c>
      <c r="K69" s="160" t="e">
        <f ca="1">IF(G69="Всього:",SUM($K$5:K68),IF(F69&lt;&gt;F68,(F69*O68/36000*(G69-CONCATENATE(DAY($C$4),".",MONTH(G68),".",YEAR(G68)))+(F68*O68/36000*(CONCATENATE(DAY($C$4),".",MONTH(G68),".",YEAR(G68))-G68))),F69*O68/36000*(G69-G68)))</f>
        <v>#VALUE!</v>
      </c>
      <c r="L69" s="160" t="e">
        <f ca="1">IF(G69="Всього:",SUM($L$5:L68),$E$4)</f>
        <v>#VALUE!</v>
      </c>
      <c r="M69" s="160" t="e">
        <f ca="1">IF(G69="Всього:",SUM($M$5:M68),IF($E$5="UAH",J69+L69+K69,J69+K69))</f>
        <v>#VALUE!</v>
      </c>
      <c r="N69" s="160" t="e">
        <f ca="1">IF(G69="Всього:",SUM($N$4:N68),IF($E$5="UAH","",L69))</f>
        <v>#VALUE!</v>
      </c>
      <c r="O69" s="160" t="e">
        <f t="shared" ref="O69:O132" ca="1" si="4">O68-J69</f>
        <v>#VALUE!</v>
      </c>
    </row>
    <row r="70" spans="6:15" x14ac:dyDescent="0.3">
      <c r="F70" s="160" t="e">
        <f t="shared" ref="F70:F133" ca="1" si="5">IF(G70="Всього:","",IF(AND(G70&gt;$B$9,G70&lt;=$B$10),$C$16,IF(AND(G70&gt;$B$9,G70&lt;=$B$11),$D$16,IF(AND(G70&gt;$B$10,G70&lt;=$B$14),$E$16,$B$16))))</f>
        <v>#VALUE!</v>
      </c>
      <c r="G70" s="160" t="e">
        <f t="shared" ca="1" si="3"/>
        <v>#VALUE!</v>
      </c>
      <c r="H70" s="160" t="str">
        <f t="shared" ref="H70:H133" ca="1" si="6">IF(H69&gt;$E$8,"",H69+1)</f>
        <v/>
      </c>
      <c r="I70" s="160" t="e">
        <f ca="1">IF($G70="Всього:",SUM($I$4:I69),IF(AND(DAY($C$4)&gt;=15,H70=1),K70+L70,$C$32))</f>
        <v>#VALUE!</v>
      </c>
      <c r="J70" s="160" t="e">
        <f ca="1">IF($G70="Всього:",SUM($J$4:J69),IF(I70-SUM(K70:L70)&lt;0,0,I70-SUM(K70:L70)))</f>
        <v>#VALUE!</v>
      </c>
      <c r="K70" s="160" t="e">
        <f ca="1">IF(G70="Всього:",SUM($K$5:K69),IF(F70&lt;&gt;F69,(F70*O69/36000*(G70-CONCATENATE(DAY($C$4),".",MONTH(G69),".",YEAR(G69)))+(F69*O69/36000*(CONCATENATE(DAY($C$4),".",MONTH(G69),".",YEAR(G69))-G69))),F70*O69/36000*(G70-G69)))</f>
        <v>#VALUE!</v>
      </c>
      <c r="L70" s="160" t="e">
        <f ca="1">IF(G70="Всього:",SUM($L$5:L69),$E$4)</f>
        <v>#VALUE!</v>
      </c>
      <c r="M70" s="160" t="e">
        <f ca="1">IF(G70="Всього:",SUM($M$5:M69),IF($E$5="UAH",J70+L70+K70,J70+K70))</f>
        <v>#VALUE!</v>
      </c>
      <c r="N70" s="160" t="e">
        <f ca="1">IF(G70="Всього:",SUM($N$4:N69),IF($E$5="UAH","",L70))</f>
        <v>#VALUE!</v>
      </c>
      <c r="O70" s="160" t="e">
        <f t="shared" ca="1" si="4"/>
        <v>#VALUE!</v>
      </c>
    </row>
    <row r="71" spans="6:15" x14ac:dyDescent="0.3">
      <c r="F71" s="160" t="e">
        <f t="shared" ca="1" si="5"/>
        <v>#VALUE!</v>
      </c>
      <c r="G71" s="160" t="e">
        <f t="shared" ref="G71:G134" ca="1" si="7">IF(H70=$E$8,"Всього:",IF($E$3+1=H71,$B$14,DATE(YEAR(G70),MONTH(G70)+1,IF($B$7&lt;&gt;"",DAY(IF($B$7&gt;DAY(EOMONTH(G70,1)),EOMONTH(G70,1),$B$7)),DAY(1)))))</f>
        <v>#VALUE!</v>
      </c>
      <c r="H71" s="160" t="str">
        <f t="shared" ca="1" si="6"/>
        <v/>
      </c>
      <c r="I71" s="160" t="e">
        <f ca="1">IF($G71="Всього:",SUM($I$4:I70),IF(AND(DAY($C$4)&gt;=15,H71=1),K71+L71,$C$32))</f>
        <v>#VALUE!</v>
      </c>
      <c r="J71" s="160" t="e">
        <f ca="1">IF($G71="Всього:",SUM($J$4:J70),IF(I71-SUM(K71:L71)&lt;0,0,I71-SUM(K71:L71)))</f>
        <v>#VALUE!</v>
      </c>
      <c r="K71" s="160" t="e">
        <f ca="1">IF(G71="Всього:",SUM($K$5:K70),IF(F71&lt;&gt;F70,(F71*O70/36000*(G71-CONCATENATE(DAY($C$4),".",MONTH(G70),".",YEAR(G70)))+(F70*O70/36000*(CONCATENATE(DAY($C$4),".",MONTH(G70),".",YEAR(G70))-G70))),F71*O70/36000*(G71-G70)))</f>
        <v>#VALUE!</v>
      </c>
      <c r="L71" s="160" t="e">
        <f ca="1">IF(G71="Всього:",SUM($L$5:L70),$E$4)</f>
        <v>#VALUE!</v>
      </c>
      <c r="M71" s="160" t="e">
        <f ca="1">IF(G71="Всього:",SUM($M$5:M70),IF($E$5="UAH",J71+L71+K71,J71+K71))</f>
        <v>#VALUE!</v>
      </c>
      <c r="N71" s="160" t="e">
        <f ca="1">IF(G71="Всього:",SUM($N$4:N70),IF($E$5="UAH","",L71))</f>
        <v>#VALUE!</v>
      </c>
      <c r="O71" s="160" t="e">
        <f t="shared" ca="1" si="4"/>
        <v>#VALUE!</v>
      </c>
    </row>
    <row r="72" spans="6:15" x14ac:dyDescent="0.3">
      <c r="F72" s="160" t="e">
        <f t="shared" ca="1" si="5"/>
        <v>#VALUE!</v>
      </c>
      <c r="G72" s="160" t="e">
        <f t="shared" ca="1" si="7"/>
        <v>#VALUE!</v>
      </c>
      <c r="H72" s="160" t="str">
        <f t="shared" ca="1" si="6"/>
        <v/>
      </c>
      <c r="I72" s="160" t="e">
        <f ca="1">IF($G72="Всього:",SUM($I$4:I71),IF(AND(DAY($C$4)&gt;=15,H72=1),K72+L72,$C$32))</f>
        <v>#VALUE!</v>
      </c>
      <c r="J72" s="160" t="e">
        <f ca="1">IF($G72="Всього:",SUM($J$4:J71),IF(I72-SUM(K72:L72)&lt;0,0,I72-SUM(K72:L72)))</f>
        <v>#VALUE!</v>
      </c>
      <c r="K72" s="160" t="e">
        <f ca="1">IF(G72="Всього:",SUM($K$5:K71),IF(F72&lt;&gt;F71,(F72*O71/36000*(G72-CONCATENATE(DAY($C$4),".",MONTH(G71),".",YEAR(G71)))+(F71*O71/36000*(CONCATENATE(DAY($C$4),".",MONTH(G71),".",YEAR(G71))-G71))),F72*O71/36000*(G72-G71)))</f>
        <v>#VALUE!</v>
      </c>
      <c r="L72" s="160" t="e">
        <f ca="1">IF(G72="Всього:",SUM($L$5:L71),$E$4)</f>
        <v>#VALUE!</v>
      </c>
      <c r="M72" s="160" t="e">
        <f ca="1">IF(G72="Всього:",SUM($M$5:M71),IF($E$5="UAH",J72+L72+K72,J72+K72))</f>
        <v>#VALUE!</v>
      </c>
      <c r="N72" s="160" t="e">
        <f ca="1">IF(G72="Всього:",SUM($N$4:N71),IF($E$5="UAH","",L72))</f>
        <v>#VALUE!</v>
      </c>
      <c r="O72" s="160" t="e">
        <f t="shared" ca="1" si="4"/>
        <v>#VALUE!</v>
      </c>
    </row>
    <row r="73" spans="6:15" x14ac:dyDescent="0.3">
      <c r="F73" s="160" t="e">
        <f t="shared" ca="1" si="5"/>
        <v>#VALUE!</v>
      </c>
      <c r="G73" s="160" t="e">
        <f t="shared" ca="1" si="7"/>
        <v>#VALUE!</v>
      </c>
      <c r="H73" s="160" t="str">
        <f t="shared" ca="1" si="6"/>
        <v/>
      </c>
      <c r="I73" s="160" t="e">
        <f ca="1">IF($G73="Всього:",SUM($I$4:I72),IF(AND(DAY($C$4)&gt;=15,H73=1),K73+L73,$C$32))</f>
        <v>#VALUE!</v>
      </c>
      <c r="J73" s="160" t="e">
        <f ca="1">IF($G73="Всього:",SUM($J$4:J72),IF(I73-SUM(K73:L73)&lt;0,0,I73-SUM(K73:L73)))</f>
        <v>#VALUE!</v>
      </c>
      <c r="K73" s="160" t="e">
        <f ca="1">IF(G73="Всього:",SUM($K$5:K72),IF(F73&lt;&gt;F72,(F73*O72/36000*(G73-CONCATENATE(DAY($C$4),".",MONTH(G72),".",YEAR(G72)))+(F72*O72/36000*(CONCATENATE(DAY($C$4),".",MONTH(G72),".",YEAR(G72))-G72))),F73*O72/36000*(G73-G72)))</f>
        <v>#VALUE!</v>
      </c>
      <c r="L73" s="160" t="e">
        <f ca="1">IF(G73="Всього:",SUM($L$5:L72),$E$4)</f>
        <v>#VALUE!</v>
      </c>
      <c r="M73" s="160" t="e">
        <f ca="1">IF(G73="Всього:",SUM($M$5:M72),IF($E$5="UAH",J73+L73+K73,J73+K73))</f>
        <v>#VALUE!</v>
      </c>
      <c r="N73" s="160" t="e">
        <f ca="1">IF(G73="Всього:",SUM($N$4:N72),IF($E$5="UAH","",L73))</f>
        <v>#VALUE!</v>
      </c>
      <c r="O73" s="160" t="e">
        <f t="shared" ca="1" si="4"/>
        <v>#VALUE!</v>
      </c>
    </row>
    <row r="74" spans="6:15" x14ac:dyDescent="0.3">
      <c r="F74" s="160" t="e">
        <f t="shared" ca="1" si="5"/>
        <v>#VALUE!</v>
      </c>
      <c r="G74" s="160" t="e">
        <f t="shared" ca="1" si="7"/>
        <v>#VALUE!</v>
      </c>
      <c r="H74" s="160" t="str">
        <f t="shared" ca="1" si="6"/>
        <v/>
      </c>
      <c r="I74" s="160" t="e">
        <f ca="1">IF($G74="Всього:",SUM($I$4:I73),IF(AND(DAY($C$4)&gt;=15,H74=1),K74+L74,$C$32))</f>
        <v>#VALUE!</v>
      </c>
      <c r="J74" s="160" t="e">
        <f ca="1">IF($G74="Всього:",SUM($J$4:J73),IF(I74-SUM(K74:L74)&lt;0,0,I74-SUM(K74:L74)))</f>
        <v>#VALUE!</v>
      </c>
      <c r="K74" s="160" t="e">
        <f ca="1">IF(G74="Всього:",SUM($K$5:K73),IF(F74&lt;&gt;F73,(F74*O73/36000*(G74-CONCATENATE(DAY($C$4),".",MONTH(G73),".",YEAR(G73)))+(F73*O73/36000*(CONCATENATE(DAY($C$4),".",MONTH(G73),".",YEAR(G73))-G73))),F74*O73/36000*(G74-G73)))</f>
        <v>#VALUE!</v>
      </c>
      <c r="L74" s="160" t="e">
        <f ca="1">IF(G74="Всього:",SUM($L$5:L73),$E$4)</f>
        <v>#VALUE!</v>
      </c>
      <c r="M74" s="160" t="e">
        <f ca="1">IF(G74="Всього:",SUM($M$5:M73),IF($E$5="UAH",J74+L74+K74,J74+K74))</f>
        <v>#VALUE!</v>
      </c>
      <c r="N74" s="160" t="e">
        <f ca="1">IF(G74="Всього:",SUM($N$4:N73),IF($E$5="UAH","",L74))</f>
        <v>#VALUE!</v>
      </c>
      <c r="O74" s="160" t="e">
        <f t="shared" ca="1" si="4"/>
        <v>#VALUE!</v>
      </c>
    </row>
    <row r="75" spans="6:15" x14ac:dyDescent="0.3">
      <c r="F75" s="160" t="e">
        <f t="shared" ca="1" si="5"/>
        <v>#VALUE!</v>
      </c>
      <c r="G75" s="160" t="e">
        <f t="shared" ca="1" si="7"/>
        <v>#VALUE!</v>
      </c>
      <c r="H75" s="160" t="str">
        <f t="shared" ca="1" si="6"/>
        <v/>
      </c>
      <c r="I75" s="160" t="e">
        <f ca="1">IF($G75="Всього:",SUM($I$4:I74),IF(AND(DAY($C$4)&gt;=15,H75=1),K75+L75,$C$32))</f>
        <v>#VALUE!</v>
      </c>
      <c r="J75" s="160" t="e">
        <f ca="1">IF($G75="Всього:",SUM($J$4:J74),IF(I75-SUM(K75:L75)&lt;0,0,I75-SUM(K75:L75)))</f>
        <v>#VALUE!</v>
      </c>
      <c r="K75" s="160" t="e">
        <f ca="1">IF(G75="Всього:",SUM($K$5:K74),IF(F75&lt;&gt;F74,(F75*O74/36000*(G75-CONCATENATE(DAY($C$4),".",MONTH(G74),".",YEAR(G74)))+(F74*O74/36000*(CONCATENATE(DAY($C$4),".",MONTH(G74),".",YEAR(G74))-G74))),F75*O74/36000*(G75-G74)))</f>
        <v>#VALUE!</v>
      </c>
      <c r="L75" s="160" t="e">
        <f ca="1">IF(G75="Всього:",SUM($L$5:L74),$E$4)</f>
        <v>#VALUE!</v>
      </c>
      <c r="M75" s="160" t="e">
        <f ca="1">IF(G75="Всього:",SUM($M$5:M74),IF($E$5="UAH",J75+L75+K75,J75+K75))</f>
        <v>#VALUE!</v>
      </c>
      <c r="N75" s="160" t="e">
        <f ca="1">IF(G75="Всього:",SUM($N$4:N74),IF($E$5="UAH","",L75))</f>
        <v>#VALUE!</v>
      </c>
      <c r="O75" s="160" t="e">
        <f t="shared" ca="1" si="4"/>
        <v>#VALUE!</v>
      </c>
    </row>
    <row r="76" spans="6:15" x14ac:dyDescent="0.3">
      <c r="F76" s="160" t="e">
        <f t="shared" ca="1" si="5"/>
        <v>#VALUE!</v>
      </c>
      <c r="G76" s="160" t="e">
        <f t="shared" ca="1" si="7"/>
        <v>#VALUE!</v>
      </c>
      <c r="H76" s="160" t="str">
        <f t="shared" ca="1" si="6"/>
        <v/>
      </c>
      <c r="I76" s="160" t="e">
        <f ca="1">IF($G76="Всього:",SUM($I$4:I75),IF(AND(DAY($C$4)&gt;=15,H76=1),K76+L76,$C$32))</f>
        <v>#VALUE!</v>
      </c>
      <c r="J76" s="160" t="e">
        <f ca="1">IF($G76="Всього:",SUM($J$4:J75),IF(I76-SUM(K76:L76)&lt;0,0,I76-SUM(K76:L76)))</f>
        <v>#VALUE!</v>
      </c>
      <c r="K76" s="160" t="e">
        <f ca="1">IF(G76="Всього:",SUM($K$5:K75),IF(F76&lt;&gt;F75,(F76*O75/36000*(G76-CONCATENATE(DAY($C$4),".",MONTH(G75),".",YEAR(G75)))+(F75*O75/36000*(CONCATENATE(DAY($C$4),".",MONTH(G75),".",YEAR(G75))-G75))),F76*O75/36000*(G76-G75)))</f>
        <v>#VALUE!</v>
      </c>
      <c r="L76" s="160" t="e">
        <f ca="1">IF(G76="Всього:",SUM($L$5:L75),$E$4)</f>
        <v>#VALUE!</v>
      </c>
      <c r="M76" s="160" t="e">
        <f ca="1">IF(G76="Всього:",SUM($M$5:M75),IF($E$5="UAH",J76+L76+K76,J76+K76))</f>
        <v>#VALUE!</v>
      </c>
      <c r="N76" s="160" t="e">
        <f ca="1">IF(G76="Всього:",SUM($N$4:N75),IF($E$5="UAH","",L76))</f>
        <v>#VALUE!</v>
      </c>
      <c r="O76" s="160" t="e">
        <f t="shared" ca="1" si="4"/>
        <v>#VALUE!</v>
      </c>
    </row>
    <row r="77" spans="6:15" x14ac:dyDescent="0.3">
      <c r="F77" s="160" t="e">
        <f t="shared" ca="1" si="5"/>
        <v>#VALUE!</v>
      </c>
      <c r="G77" s="160" t="e">
        <f t="shared" ca="1" si="7"/>
        <v>#VALUE!</v>
      </c>
      <c r="H77" s="160" t="str">
        <f t="shared" ca="1" si="6"/>
        <v/>
      </c>
      <c r="I77" s="160" t="e">
        <f ca="1">IF($G77="Всього:",SUM($I$4:I76),IF(AND(DAY($C$4)&gt;=15,H77=1),K77+L77,$C$32))</f>
        <v>#VALUE!</v>
      </c>
      <c r="J77" s="160" t="e">
        <f ca="1">IF($G77="Всього:",SUM($J$4:J76),IF(I77-SUM(K77:L77)&lt;0,0,I77-SUM(K77:L77)))</f>
        <v>#VALUE!</v>
      </c>
      <c r="K77" s="160" t="e">
        <f ca="1">IF(G77="Всього:",SUM($K$5:K76),IF(F77&lt;&gt;F76,(F77*O76/36000*(G77-CONCATENATE(DAY($C$4),".",MONTH(G76),".",YEAR(G76)))+(F76*O76/36000*(CONCATENATE(DAY($C$4),".",MONTH(G76),".",YEAR(G76))-G76))),F77*O76/36000*(G77-G76)))</f>
        <v>#VALUE!</v>
      </c>
      <c r="L77" s="160" t="e">
        <f ca="1">IF(G77="Всього:",SUM($L$5:L76),$E$4)</f>
        <v>#VALUE!</v>
      </c>
      <c r="M77" s="160" t="e">
        <f ca="1">IF(G77="Всього:",SUM($M$5:M76),IF($E$5="UAH",J77+L77+K77,J77+K77))</f>
        <v>#VALUE!</v>
      </c>
      <c r="N77" s="160" t="e">
        <f ca="1">IF(G77="Всього:",SUM($N$4:N76),IF($E$5="UAH","",L77))</f>
        <v>#VALUE!</v>
      </c>
      <c r="O77" s="160" t="e">
        <f t="shared" ca="1" si="4"/>
        <v>#VALUE!</v>
      </c>
    </row>
    <row r="78" spans="6:15" x14ac:dyDescent="0.3">
      <c r="F78" s="160" t="e">
        <f t="shared" ca="1" si="5"/>
        <v>#VALUE!</v>
      </c>
      <c r="G78" s="160" t="e">
        <f t="shared" ca="1" si="7"/>
        <v>#VALUE!</v>
      </c>
      <c r="H78" s="160" t="str">
        <f t="shared" ca="1" si="6"/>
        <v/>
      </c>
      <c r="I78" s="160" t="e">
        <f ca="1">IF($G78="Всього:",SUM($I$4:I77),IF(AND(DAY($C$4)&gt;=15,H78=1),K78+L78,$C$32))</f>
        <v>#VALUE!</v>
      </c>
      <c r="J78" s="160" t="e">
        <f ca="1">IF($G78="Всього:",SUM($J$4:J77),IF(I78-SUM(K78:L78)&lt;0,0,I78-SUM(K78:L78)))</f>
        <v>#VALUE!</v>
      </c>
      <c r="K78" s="160" t="e">
        <f ca="1">IF(G78="Всього:",SUM($K$5:K77),IF(F78&lt;&gt;F77,(F78*O77/36000*(G78-CONCATENATE(DAY($C$4),".",MONTH(G77),".",YEAR(G77)))+(F77*O77/36000*(CONCATENATE(DAY($C$4),".",MONTH(G77),".",YEAR(G77))-G77))),F78*O77/36000*(G78-G77)))</f>
        <v>#VALUE!</v>
      </c>
      <c r="L78" s="160" t="e">
        <f ca="1">IF(G78="Всього:",SUM($L$5:L77),$E$4)</f>
        <v>#VALUE!</v>
      </c>
      <c r="M78" s="160" t="e">
        <f ca="1">IF(G78="Всього:",SUM($M$5:M77),IF($E$5="UAH",J78+L78+K78,J78+K78))</f>
        <v>#VALUE!</v>
      </c>
      <c r="N78" s="160" t="e">
        <f ca="1">IF(G78="Всього:",SUM($N$4:N77),IF($E$5="UAH","",L78))</f>
        <v>#VALUE!</v>
      </c>
      <c r="O78" s="160" t="e">
        <f t="shared" ca="1" si="4"/>
        <v>#VALUE!</v>
      </c>
    </row>
    <row r="79" spans="6:15" x14ac:dyDescent="0.3">
      <c r="F79" s="160" t="e">
        <f t="shared" ca="1" si="5"/>
        <v>#VALUE!</v>
      </c>
      <c r="G79" s="160" t="e">
        <f t="shared" ca="1" si="7"/>
        <v>#VALUE!</v>
      </c>
      <c r="H79" s="160" t="str">
        <f t="shared" ca="1" si="6"/>
        <v/>
      </c>
      <c r="I79" s="160" t="e">
        <f ca="1">IF($G79="Всього:",SUM($I$4:I78),IF(AND(DAY($C$4)&gt;=15,H79=1),K79+L79,$C$32))</f>
        <v>#VALUE!</v>
      </c>
      <c r="J79" s="160" t="e">
        <f ca="1">IF($G79="Всього:",SUM($J$4:J78),IF(I79-SUM(K79:L79)&lt;0,0,I79-SUM(K79:L79)))</f>
        <v>#VALUE!</v>
      </c>
      <c r="K79" s="160" t="e">
        <f ca="1">IF(G79="Всього:",SUM($K$5:K78),IF(F79&lt;&gt;F78,(F79*O78/36000*(G79-CONCATENATE(DAY($C$4),".",MONTH(G78),".",YEAR(G78)))+(F78*O78/36000*(CONCATENATE(DAY($C$4),".",MONTH(G78),".",YEAR(G78))-G78))),F79*O78/36000*(G79-G78)))</f>
        <v>#VALUE!</v>
      </c>
      <c r="L79" s="160" t="e">
        <f ca="1">IF(G79="Всього:",SUM($L$5:L78),$E$4)</f>
        <v>#VALUE!</v>
      </c>
      <c r="M79" s="160" t="e">
        <f ca="1">IF(G79="Всього:",SUM($M$5:M78),IF($E$5="UAH",J79+L79+K79,J79+K79))</f>
        <v>#VALUE!</v>
      </c>
      <c r="N79" s="160" t="e">
        <f ca="1">IF(G79="Всього:",SUM($N$4:N78),IF($E$5="UAH","",L79))</f>
        <v>#VALUE!</v>
      </c>
      <c r="O79" s="160" t="e">
        <f t="shared" ca="1" si="4"/>
        <v>#VALUE!</v>
      </c>
    </row>
    <row r="80" spans="6:15" x14ac:dyDescent="0.3">
      <c r="F80" s="160" t="e">
        <f t="shared" ca="1" si="5"/>
        <v>#VALUE!</v>
      </c>
      <c r="G80" s="160" t="e">
        <f t="shared" ca="1" si="7"/>
        <v>#VALUE!</v>
      </c>
      <c r="H80" s="160" t="str">
        <f t="shared" ca="1" si="6"/>
        <v/>
      </c>
      <c r="I80" s="160" t="e">
        <f ca="1">IF($G80="Всього:",SUM($I$4:I79),IF(AND(DAY($C$4)&gt;=15,H80=1),K80+L80,$C$32))</f>
        <v>#VALUE!</v>
      </c>
      <c r="J80" s="160" t="e">
        <f ca="1">IF($G80="Всього:",SUM($J$4:J79),IF(I80-SUM(K80:L80)&lt;0,0,I80-SUM(K80:L80)))</f>
        <v>#VALUE!</v>
      </c>
      <c r="K80" s="160" t="e">
        <f ca="1">IF(G80="Всього:",SUM($K$5:K79),IF(F80&lt;&gt;F79,(F80*O79/36000*(G80-CONCATENATE(DAY($C$4),".",MONTH(G79),".",YEAR(G79)))+(F79*O79/36000*(CONCATENATE(DAY($C$4),".",MONTH(G79),".",YEAR(G79))-G79))),F80*O79/36000*(G80-G79)))</f>
        <v>#VALUE!</v>
      </c>
      <c r="L80" s="160" t="e">
        <f ca="1">IF(G80="Всього:",SUM($L$5:L79),$E$4)</f>
        <v>#VALUE!</v>
      </c>
      <c r="M80" s="160" t="e">
        <f ca="1">IF(G80="Всього:",SUM($M$5:M79),IF($E$5="UAH",J80+L80+K80,J80+K80))</f>
        <v>#VALUE!</v>
      </c>
      <c r="N80" s="160" t="e">
        <f ca="1">IF(G80="Всього:",SUM($N$4:N79),IF($E$5="UAH","",L80))</f>
        <v>#VALUE!</v>
      </c>
      <c r="O80" s="160" t="e">
        <f t="shared" ca="1" si="4"/>
        <v>#VALUE!</v>
      </c>
    </row>
    <row r="81" spans="6:15" x14ac:dyDescent="0.3">
      <c r="F81" s="160" t="e">
        <f t="shared" ca="1" si="5"/>
        <v>#VALUE!</v>
      </c>
      <c r="G81" s="160" t="e">
        <f t="shared" ca="1" si="7"/>
        <v>#VALUE!</v>
      </c>
      <c r="H81" s="160" t="str">
        <f t="shared" ca="1" si="6"/>
        <v/>
      </c>
      <c r="I81" s="160" t="e">
        <f ca="1">IF($G81="Всього:",SUM($I$4:I80),IF(AND(DAY($C$4)&gt;=15,H81=1),K81+L81,$C$32))</f>
        <v>#VALUE!</v>
      </c>
      <c r="J81" s="160" t="e">
        <f ca="1">IF($G81="Всього:",SUM($J$4:J80),IF(I81-SUM(K81:L81)&lt;0,0,I81-SUM(K81:L81)))</f>
        <v>#VALUE!</v>
      </c>
      <c r="K81" s="160" t="e">
        <f ca="1">IF(G81="Всього:",SUM($K$5:K80),IF(F81&lt;&gt;F80,(F81*O80/36000*(G81-CONCATENATE(DAY($C$4),".",MONTH(G80),".",YEAR(G80)))+(F80*O80/36000*(CONCATENATE(DAY($C$4),".",MONTH(G80),".",YEAR(G80))-G80))),F81*O80/36000*(G81-G80)))</f>
        <v>#VALUE!</v>
      </c>
      <c r="L81" s="160" t="e">
        <f ca="1">IF(G81="Всього:",SUM($L$5:L80),$E$4)</f>
        <v>#VALUE!</v>
      </c>
      <c r="M81" s="160" t="e">
        <f ca="1">IF(G81="Всього:",SUM($M$5:M80),IF($E$5="UAH",J81+L81+K81,J81+K81))</f>
        <v>#VALUE!</v>
      </c>
      <c r="N81" s="160" t="e">
        <f ca="1">IF(G81="Всього:",SUM($N$4:N80),IF($E$5="UAH","",L81))</f>
        <v>#VALUE!</v>
      </c>
      <c r="O81" s="160" t="e">
        <f t="shared" ca="1" si="4"/>
        <v>#VALUE!</v>
      </c>
    </row>
    <row r="82" spans="6:15" x14ac:dyDescent="0.3">
      <c r="F82" s="160" t="e">
        <f t="shared" ca="1" si="5"/>
        <v>#VALUE!</v>
      </c>
      <c r="G82" s="160" t="e">
        <f t="shared" ca="1" si="7"/>
        <v>#VALUE!</v>
      </c>
      <c r="H82" s="160" t="str">
        <f t="shared" ca="1" si="6"/>
        <v/>
      </c>
      <c r="I82" s="160" t="e">
        <f ca="1">IF($G82="Всього:",SUM($I$4:I81),IF(AND(DAY($C$4)&gt;=15,H82=1),K82+L82,$C$32))</f>
        <v>#VALUE!</v>
      </c>
      <c r="J82" s="160" t="e">
        <f ca="1">IF($G82="Всього:",SUM($J$4:J81),IF(I82-SUM(K82:L82)&lt;0,0,I82-SUM(K82:L82)))</f>
        <v>#VALUE!</v>
      </c>
      <c r="K82" s="160" t="e">
        <f ca="1">IF(G82="Всього:",SUM($K$5:K81),IF(F82&lt;&gt;F81,(F82*O81/36000*(G82-CONCATENATE(DAY($C$4),".",MONTH(G81),".",YEAR(G81)))+(F81*O81/36000*(CONCATENATE(DAY($C$4),".",MONTH(G81),".",YEAR(G81))-G81))),F82*O81/36000*(G82-G81)))</f>
        <v>#VALUE!</v>
      </c>
      <c r="L82" s="160" t="e">
        <f ca="1">IF(G82="Всього:",SUM($L$5:L81),$E$4)</f>
        <v>#VALUE!</v>
      </c>
      <c r="M82" s="160" t="e">
        <f ca="1">IF(G82="Всього:",SUM($M$5:M81),IF($E$5="UAH",J82+L82+K82,J82+K82))</f>
        <v>#VALUE!</v>
      </c>
      <c r="N82" s="160" t="e">
        <f ca="1">IF(G82="Всього:",SUM($N$4:N81),IF($E$5="UAH","",L82))</f>
        <v>#VALUE!</v>
      </c>
      <c r="O82" s="160" t="e">
        <f t="shared" ca="1" si="4"/>
        <v>#VALUE!</v>
      </c>
    </row>
    <row r="83" spans="6:15" x14ac:dyDescent="0.3">
      <c r="F83" s="160" t="e">
        <f t="shared" ca="1" si="5"/>
        <v>#VALUE!</v>
      </c>
      <c r="G83" s="160" t="e">
        <f t="shared" ca="1" si="7"/>
        <v>#VALUE!</v>
      </c>
      <c r="H83" s="160" t="str">
        <f t="shared" ca="1" si="6"/>
        <v/>
      </c>
      <c r="I83" s="160" t="e">
        <f ca="1">IF($G83="Всього:",SUM($I$4:I82),IF(AND(DAY($C$4)&gt;=15,H83=1),K83+L83,$C$32))</f>
        <v>#VALUE!</v>
      </c>
      <c r="J83" s="160" t="e">
        <f ca="1">IF($G83="Всього:",SUM($J$4:J82),IF(I83-SUM(K83:L83)&lt;0,0,I83-SUM(K83:L83)))</f>
        <v>#VALUE!</v>
      </c>
      <c r="K83" s="160" t="e">
        <f ca="1">IF(G83="Всього:",SUM($K$5:K82),IF(F83&lt;&gt;F82,(F83*O82/36000*(G83-CONCATENATE(DAY($C$4),".",MONTH(G82),".",YEAR(G82)))+(F82*O82/36000*(CONCATENATE(DAY($C$4),".",MONTH(G82),".",YEAR(G82))-G82))),F83*O82/36000*(G83-G82)))</f>
        <v>#VALUE!</v>
      </c>
      <c r="L83" s="160" t="e">
        <f ca="1">IF(G83="Всього:",SUM($L$5:L82),$E$4)</f>
        <v>#VALUE!</v>
      </c>
      <c r="M83" s="160" t="e">
        <f ca="1">IF(G83="Всього:",SUM($M$5:M82),IF($E$5="UAH",J83+L83+K83,J83+K83))</f>
        <v>#VALUE!</v>
      </c>
      <c r="N83" s="160" t="e">
        <f ca="1">IF(G83="Всього:",SUM($N$4:N82),IF($E$5="UAH","",L83))</f>
        <v>#VALUE!</v>
      </c>
      <c r="O83" s="160" t="e">
        <f t="shared" ca="1" si="4"/>
        <v>#VALUE!</v>
      </c>
    </row>
    <row r="84" spans="6:15" x14ac:dyDescent="0.3">
      <c r="F84" s="160" t="e">
        <f t="shared" ca="1" si="5"/>
        <v>#VALUE!</v>
      </c>
      <c r="G84" s="160" t="e">
        <f t="shared" ca="1" si="7"/>
        <v>#VALUE!</v>
      </c>
      <c r="H84" s="160" t="str">
        <f t="shared" ca="1" si="6"/>
        <v/>
      </c>
      <c r="I84" s="160" t="e">
        <f ca="1">IF($G84="Всього:",SUM($I$4:I83),IF(AND(DAY($C$4)&gt;=15,H84=1),K84+L84,$C$32))</f>
        <v>#VALUE!</v>
      </c>
      <c r="J84" s="160" t="e">
        <f ca="1">IF($G84="Всього:",SUM($J$4:J83),IF(I84-SUM(K84:L84)&lt;0,0,I84-SUM(K84:L84)))</f>
        <v>#VALUE!</v>
      </c>
      <c r="K84" s="160" t="e">
        <f ca="1">IF(G84="Всього:",SUM($K$5:K83),IF(F84&lt;&gt;F83,(F84*O83/36000*(G84-CONCATENATE(DAY($C$4),".",MONTH(G83),".",YEAR(G83)))+(F83*O83/36000*(CONCATENATE(DAY($C$4),".",MONTH(G83),".",YEAR(G83))-G83))),F84*O83/36000*(G84-G83)))</f>
        <v>#VALUE!</v>
      </c>
      <c r="L84" s="160" t="e">
        <f ca="1">IF(G84="Всього:",SUM($L$5:L83),$E$4)</f>
        <v>#VALUE!</v>
      </c>
      <c r="M84" s="160" t="e">
        <f ca="1">IF(G84="Всього:",SUM($M$5:M83),IF($E$5="UAH",J84+L84+K84,J84+K84))</f>
        <v>#VALUE!</v>
      </c>
      <c r="N84" s="160" t="e">
        <f ca="1">IF(G84="Всього:",SUM($N$4:N83),IF($E$5="UAH","",L84))</f>
        <v>#VALUE!</v>
      </c>
      <c r="O84" s="160" t="e">
        <f t="shared" ca="1" si="4"/>
        <v>#VALUE!</v>
      </c>
    </row>
    <row r="85" spans="6:15" x14ac:dyDescent="0.3">
      <c r="F85" s="160" t="e">
        <f t="shared" ca="1" si="5"/>
        <v>#VALUE!</v>
      </c>
      <c r="G85" s="160" t="e">
        <f t="shared" ca="1" si="7"/>
        <v>#VALUE!</v>
      </c>
      <c r="H85" s="160" t="str">
        <f t="shared" ca="1" si="6"/>
        <v/>
      </c>
      <c r="I85" s="160" t="e">
        <f ca="1">IF($G85="Всього:",SUM($I$4:I84),IF(AND(DAY($C$4)&gt;=15,H85=1),K85+L85,$C$32))</f>
        <v>#VALUE!</v>
      </c>
      <c r="J85" s="160" t="e">
        <f ca="1">IF($G85="Всього:",SUM($J$4:J84),IF(I85-SUM(K85:L85)&lt;0,0,I85-SUM(K85:L85)))</f>
        <v>#VALUE!</v>
      </c>
      <c r="K85" s="160" t="e">
        <f ca="1">IF(G85="Всього:",SUM($K$5:K84),IF(F85&lt;&gt;F84,(F85*O84/36000*(G85-CONCATENATE(DAY($C$4),".",MONTH(G84),".",YEAR(G84)))+(F84*O84/36000*(CONCATENATE(DAY($C$4),".",MONTH(G84),".",YEAR(G84))-G84))),F85*O84/36000*(G85-G84)))</f>
        <v>#VALUE!</v>
      </c>
      <c r="L85" s="160" t="e">
        <f ca="1">IF(G85="Всього:",SUM($L$5:L84),$E$4)</f>
        <v>#VALUE!</v>
      </c>
      <c r="M85" s="160" t="e">
        <f ca="1">IF(G85="Всього:",SUM($M$5:M84),IF($E$5="UAH",J85+L85+K85,J85+K85))</f>
        <v>#VALUE!</v>
      </c>
      <c r="N85" s="160" t="e">
        <f ca="1">IF(G85="Всього:",SUM($N$4:N84),IF($E$5="UAH","",L85))</f>
        <v>#VALUE!</v>
      </c>
      <c r="O85" s="160" t="e">
        <f t="shared" ca="1" si="4"/>
        <v>#VALUE!</v>
      </c>
    </row>
    <row r="86" spans="6:15" x14ac:dyDescent="0.3">
      <c r="F86" s="160" t="e">
        <f t="shared" ca="1" si="5"/>
        <v>#VALUE!</v>
      </c>
      <c r="G86" s="160" t="e">
        <f t="shared" ca="1" si="7"/>
        <v>#VALUE!</v>
      </c>
      <c r="H86" s="160" t="str">
        <f t="shared" ca="1" si="6"/>
        <v/>
      </c>
      <c r="I86" s="160" t="e">
        <f ca="1">IF($G86="Всього:",SUM($I$4:I85),IF(AND(DAY($C$4)&gt;=15,H86=1),K86+L86,$C$32))</f>
        <v>#VALUE!</v>
      </c>
      <c r="J86" s="160" t="e">
        <f ca="1">IF($G86="Всього:",SUM($J$4:J85),IF(I86-SUM(K86:L86)&lt;0,0,I86-SUM(K86:L86)))</f>
        <v>#VALUE!</v>
      </c>
      <c r="K86" s="160" t="e">
        <f ca="1">IF(G86="Всього:",SUM($K$5:K85),IF(F86&lt;&gt;F85,(F86*O85/36000*(G86-CONCATENATE(DAY($C$4),".",MONTH(G85),".",YEAR(G85)))+(F85*O85/36000*(CONCATENATE(DAY($C$4),".",MONTH(G85),".",YEAR(G85))-G85))),F86*O85/36000*(G86-G85)))</f>
        <v>#VALUE!</v>
      </c>
      <c r="L86" s="160" t="e">
        <f ca="1">IF(G86="Всього:",SUM($L$5:L85),$E$4)</f>
        <v>#VALUE!</v>
      </c>
      <c r="M86" s="160" t="e">
        <f ca="1">IF(G86="Всього:",SUM($M$5:M85),IF($E$5="UAH",J86+L86+K86,J86+K86))</f>
        <v>#VALUE!</v>
      </c>
      <c r="N86" s="160" t="e">
        <f ca="1">IF(G86="Всього:",SUM($N$4:N85),IF($E$5="UAH","",L86))</f>
        <v>#VALUE!</v>
      </c>
      <c r="O86" s="160" t="e">
        <f t="shared" ca="1" si="4"/>
        <v>#VALUE!</v>
      </c>
    </row>
    <row r="87" spans="6:15" x14ac:dyDescent="0.3">
      <c r="F87" s="160" t="e">
        <f t="shared" ca="1" si="5"/>
        <v>#VALUE!</v>
      </c>
      <c r="G87" s="160" t="e">
        <f t="shared" ca="1" si="7"/>
        <v>#VALUE!</v>
      </c>
      <c r="H87" s="160" t="str">
        <f t="shared" ca="1" si="6"/>
        <v/>
      </c>
      <c r="I87" s="160" t="e">
        <f ca="1">IF($G87="Всього:",SUM($I$4:I86),IF(AND(DAY($C$4)&gt;=15,H87=1),K87+L87,$C$32))</f>
        <v>#VALUE!</v>
      </c>
      <c r="J87" s="160" t="e">
        <f ca="1">IF($G87="Всього:",SUM($J$4:J86),IF(I87-SUM(K87:L87)&lt;0,0,I87-SUM(K87:L87)))</f>
        <v>#VALUE!</v>
      </c>
      <c r="K87" s="160" t="e">
        <f ca="1">IF(G87="Всього:",SUM($K$5:K86),IF(F87&lt;&gt;F86,(F87*O86/36000*(G87-CONCATENATE(DAY($C$4),".",MONTH(G86),".",YEAR(G86)))+(F86*O86/36000*(CONCATENATE(DAY($C$4),".",MONTH(G86),".",YEAR(G86))-G86))),F87*O86/36000*(G87-G86)))</f>
        <v>#VALUE!</v>
      </c>
      <c r="L87" s="160" t="e">
        <f ca="1">IF(G87="Всього:",SUM($L$5:L86),$E$4)</f>
        <v>#VALUE!</v>
      </c>
      <c r="M87" s="160" t="e">
        <f ca="1">IF(G87="Всього:",SUM($M$5:M86),IF($E$5="UAH",J87+L87+K87,J87+K87))</f>
        <v>#VALUE!</v>
      </c>
      <c r="N87" s="160" t="e">
        <f ca="1">IF(G87="Всього:",SUM($N$4:N86),IF($E$5="UAH","",L87))</f>
        <v>#VALUE!</v>
      </c>
      <c r="O87" s="160" t="e">
        <f t="shared" ca="1" si="4"/>
        <v>#VALUE!</v>
      </c>
    </row>
    <row r="88" spans="6:15" x14ac:dyDescent="0.3">
      <c r="F88" s="160" t="e">
        <f t="shared" ca="1" si="5"/>
        <v>#VALUE!</v>
      </c>
      <c r="G88" s="160" t="e">
        <f t="shared" ca="1" si="7"/>
        <v>#VALUE!</v>
      </c>
      <c r="H88" s="160" t="str">
        <f t="shared" ca="1" si="6"/>
        <v/>
      </c>
      <c r="I88" s="160" t="e">
        <f ca="1">IF($G88="Всього:",SUM($I$4:I87),IF(AND(DAY($C$4)&gt;=15,H88=1),K88+L88,$C$32))</f>
        <v>#VALUE!</v>
      </c>
      <c r="J88" s="160" t="e">
        <f ca="1">IF($G88="Всього:",SUM($J$4:J87),IF(I88-SUM(K88:L88)&lt;0,0,I88-SUM(K88:L88)))</f>
        <v>#VALUE!</v>
      </c>
      <c r="K88" s="160" t="e">
        <f ca="1">IF(G88="Всього:",SUM($K$5:K87),IF(F88&lt;&gt;F87,(F88*O87/36000*(G88-CONCATENATE(DAY($C$4),".",MONTH(G87),".",YEAR(G87)))+(F87*O87/36000*(CONCATENATE(DAY($C$4),".",MONTH(G87),".",YEAR(G87))-G87))),F88*O87/36000*(G88-G87)))</f>
        <v>#VALUE!</v>
      </c>
      <c r="L88" s="160" t="e">
        <f ca="1">IF(G88="Всього:",SUM($L$5:L87),$E$4)</f>
        <v>#VALUE!</v>
      </c>
      <c r="M88" s="160" t="e">
        <f ca="1">IF(G88="Всього:",SUM($M$5:M87),IF($E$5="UAH",J88+L88+K88,J88+K88))</f>
        <v>#VALUE!</v>
      </c>
      <c r="N88" s="160" t="e">
        <f ca="1">IF(G88="Всього:",SUM($N$4:N87),IF($E$5="UAH","",L88))</f>
        <v>#VALUE!</v>
      </c>
      <c r="O88" s="160" t="e">
        <f t="shared" ca="1" si="4"/>
        <v>#VALUE!</v>
      </c>
    </row>
    <row r="89" spans="6:15" x14ac:dyDescent="0.3">
      <c r="F89" s="160" t="e">
        <f t="shared" ca="1" si="5"/>
        <v>#VALUE!</v>
      </c>
      <c r="G89" s="160" t="e">
        <f t="shared" ca="1" si="7"/>
        <v>#VALUE!</v>
      </c>
      <c r="H89" s="160" t="str">
        <f t="shared" ca="1" si="6"/>
        <v/>
      </c>
      <c r="I89" s="160">
        <v>3795.2158627380263</v>
      </c>
      <c r="J89" s="160" t="e">
        <f ca="1">IF($G89="Всього:",SUM($J$4:J88),IF(I89-SUM(K89:L89)&lt;0,0,I89-SUM(K89:L89)))</f>
        <v>#VALUE!</v>
      </c>
      <c r="K89" s="160" t="e">
        <f ca="1">IF(G89="Всього:",SUM($K$5:K88),IF(F89&lt;&gt;F88,(F89*O88/36000*(G89-CONCATENATE(DAY($C$4),".",MONTH(G88),".",YEAR(G88)))+(F88*O88/36000*(CONCATENATE(DAY($C$4),".",MONTH(G88),".",YEAR(G88))-G88))),F89*O88/36000*(G89-G88)))</f>
        <v>#VALUE!</v>
      </c>
      <c r="L89" s="160" t="e">
        <f ca="1">IF(G89="Всього:",SUM($L$5:L88),$E$4)</f>
        <v>#VALUE!</v>
      </c>
      <c r="M89" s="160" t="e">
        <f ca="1">IF(G89="Всього:",SUM($M$5:M88),IF($E$5="UAH",J89+L89+K89,J89+K89))</f>
        <v>#VALUE!</v>
      </c>
      <c r="N89" s="160" t="e">
        <f ca="1">IF(G89="Всього:",SUM($N$4:N88),IF($E$5="UAH","",L89))</f>
        <v>#VALUE!</v>
      </c>
      <c r="O89" s="160" t="e">
        <f t="shared" ca="1" si="4"/>
        <v>#VALUE!</v>
      </c>
    </row>
    <row r="90" spans="6:15" x14ac:dyDescent="0.3">
      <c r="F90" s="160" t="e">
        <f t="shared" ca="1" si="5"/>
        <v>#VALUE!</v>
      </c>
      <c r="G90" s="160" t="e">
        <f t="shared" ca="1" si="7"/>
        <v>#VALUE!</v>
      </c>
      <c r="H90" s="160" t="str">
        <f t="shared" ca="1" si="6"/>
        <v/>
      </c>
      <c r="I90" s="160" t="e">
        <f ca="1">IF($G90="Всього:",SUM($I$4:I89),IF(AND(DAY($C$4)&gt;=15,H90=1),K90+L90,$C$32))</f>
        <v>#VALUE!</v>
      </c>
      <c r="J90" s="160" t="e">
        <f ca="1">IF($G90="Всього:",SUM($J$4:J89),IF(I90-SUM(K90:L90)&lt;0,0,I90-SUM(K90:L90)))</f>
        <v>#VALUE!</v>
      </c>
      <c r="K90" s="160" t="e">
        <f ca="1">IF(G90="Всього:",SUM($K$5:K89),IF(F90&lt;&gt;F89,(F90*O89/36000*(G90-CONCATENATE(DAY($C$4),".",MONTH(G89),".",YEAR(G89)))+(F89*O89/36000*(CONCATENATE(DAY($C$4),".",MONTH(G89),".",YEAR(G89))-G89))),F90*O89/36000*(G90-G89)))</f>
        <v>#VALUE!</v>
      </c>
      <c r="L90" s="160" t="e">
        <f ca="1">IF(G90="Всього:",SUM($L$5:L89),$E$4)</f>
        <v>#VALUE!</v>
      </c>
      <c r="M90" s="160" t="e">
        <f ca="1">IF(G90="Всього:",SUM($M$5:M89),IF($E$5="UAH",J90+L90+K90,J90+K90))</f>
        <v>#VALUE!</v>
      </c>
      <c r="N90" s="160" t="e">
        <f ca="1">IF(G90="Всього:",SUM($N$4:N89),IF($E$5="UAH","",L90))</f>
        <v>#VALUE!</v>
      </c>
      <c r="O90" s="160" t="e">
        <f t="shared" ca="1" si="4"/>
        <v>#VALUE!</v>
      </c>
    </row>
    <row r="91" spans="6:15" x14ac:dyDescent="0.3">
      <c r="F91" s="160" t="e">
        <f t="shared" ca="1" si="5"/>
        <v>#VALUE!</v>
      </c>
      <c r="G91" s="160" t="e">
        <f t="shared" ca="1" si="7"/>
        <v>#VALUE!</v>
      </c>
      <c r="H91" s="160" t="str">
        <f t="shared" ca="1" si="6"/>
        <v/>
      </c>
      <c r="I91" s="160" t="e">
        <f ca="1">IF($G91="Всього:",SUM($I$4:I90),IF(AND(DAY($C$4)&gt;=15,H91=1),K91+L91,$C$32))</f>
        <v>#VALUE!</v>
      </c>
      <c r="J91" s="160" t="e">
        <f ca="1">IF($G91="Всього:",SUM($J$4:J90),IF(I91-SUM(K91:L91)&lt;0,0,I91-SUM(K91:L91)))</f>
        <v>#VALUE!</v>
      </c>
      <c r="K91" s="160" t="e">
        <f ca="1">IF(G91="Всього:",SUM($K$5:K90),IF(F91&lt;&gt;F90,(F91*O90/36000*(G91-CONCATENATE(DAY($C$4),".",MONTH(G90),".",YEAR(G90)))+(F90*O90/36000*(CONCATENATE(DAY($C$4),".",MONTH(G90),".",YEAR(G90))-G90))),F91*O90/36000*(G91-G90)))</f>
        <v>#VALUE!</v>
      </c>
      <c r="L91" s="160" t="e">
        <f ca="1">IF(G91="Всього:",SUM($L$5:L90),$E$4)</f>
        <v>#VALUE!</v>
      </c>
      <c r="M91" s="160" t="e">
        <f ca="1">IF(G91="Всього:",SUM($M$5:M90),IF($E$5="UAH",J91+L91+K91,J91+K91))</f>
        <v>#VALUE!</v>
      </c>
      <c r="N91" s="160" t="e">
        <f ca="1">IF(G91="Всього:",SUM($N$4:N90),IF($E$5="UAH","",L91))</f>
        <v>#VALUE!</v>
      </c>
      <c r="O91" s="160" t="e">
        <f t="shared" ca="1" si="4"/>
        <v>#VALUE!</v>
      </c>
    </row>
    <row r="92" spans="6:15" x14ac:dyDescent="0.3">
      <c r="F92" s="160" t="e">
        <f t="shared" ca="1" si="5"/>
        <v>#VALUE!</v>
      </c>
      <c r="G92" s="160" t="e">
        <f t="shared" ca="1" si="7"/>
        <v>#VALUE!</v>
      </c>
      <c r="H92" s="160" t="str">
        <f t="shared" ca="1" si="6"/>
        <v/>
      </c>
      <c r="I92" s="160" t="e">
        <f ca="1">IF($G92="Всього:",SUM($I$4:I91),IF(AND(DAY($C$4)&gt;=15,H92=1),K92+L92,$C$32))</f>
        <v>#VALUE!</v>
      </c>
      <c r="J92" s="160" t="e">
        <f ca="1">IF($G92="Всього:",SUM($J$4:J91),IF(I92-SUM(K92:L92)&lt;0,0,I92-SUM(K92:L92)))</f>
        <v>#VALUE!</v>
      </c>
      <c r="K92" s="160" t="e">
        <f ca="1">IF(G92="Всього:",SUM($K$5:K91),IF(F92&lt;&gt;F91,(F92*O91/36000*(G92-CONCATENATE(DAY($C$4),".",MONTH(G91),".",YEAR(G91)))+(F91*O91/36000*(CONCATENATE(DAY($C$4),".",MONTH(G91),".",YEAR(G91))-G91))),F92*O91/36000*(G92-G91)))</f>
        <v>#VALUE!</v>
      </c>
      <c r="L92" s="160" t="e">
        <f ca="1">IF(G92="Всього:",SUM($L$5:L91),$E$4)</f>
        <v>#VALUE!</v>
      </c>
      <c r="M92" s="160" t="e">
        <f ca="1">IF(G92="Всього:",SUM($M$5:M91),IF($E$5="UAH",J92+L92+K92,J92+K92))</f>
        <v>#VALUE!</v>
      </c>
      <c r="N92" s="160" t="e">
        <f ca="1">IF(G92="Всього:",SUM($N$4:N91),IF($E$5="UAH","",L92))</f>
        <v>#VALUE!</v>
      </c>
      <c r="O92" s="160" t="e">
        <f t="shared" ca="1" si="4"/>
        <v>#VALUE!</v>
      </c>
    </row>
    <row r="93" spans="6:15" x14ac:dyDescent="0.3">
      <c r="F93" s="160" t="e">
        <f t="shared" ca="1" si="5"/>
        <v>#VALUE!</v>
      </c>
      <c r="G93" s="160" t="e">
        <f t="shared" ca="1" si="7"/>
        <v>#VALUE!</v>
      </c>
      <c r="H93" s="160" t="str">
        <f t="shared" ca="1" si="6"/>
        <v/>
      </c>
      <c r="I93" s="160" t="e">
        <f ca="1">IF($G93="Всього:",SUM($I$4:I92),IF(AND(DAY($C$4)&gt;=15,H93=1),K93+L93,$C$32))</f>
        <v>#VALUE!</v>
      </c>
      <c r="J93" s="160" t="e">
        <f ca="1">IF($G93="Всього:",SUM($J$4:J92),IF(I93-SUM(K93:L93)&lt;0,0,I93-SUM(K93:L93)))</f>
        <v>#VALUE!</v>
      </c>
      <c r="K93" s="160" t="e">
        <f ca="1">IF(G93="Всього:",SUM($K$5:K92),IF(F93&lt;&gt;F92,(F93*O92/36000*(G93-CONCATENATE(DAY($C$4),".",MONTH(G92),".",YEAR(G92)))+(F92*O92/36000*(CONCATENATE(DAY($C$4),".",MONTH(G92),".",YEAR(G92))-G92))),F93*O92/36000*(G93-G92)))</f>
        <v>#VALUE!</v>
      </c>
      <c r="L93" s="160" t="e">
        <f ca="1">IF(G93="Всього:",SUM($L$5:L92),$E$4)</f>
        <v>#VALUE!</v>
      </c>
      <c r="M93" s="160" t="e">
        <f ca="1">IF(G93="Всього:",SUM($M$5:M92),IF($E$5="UAH",J93+L93+K93,J93+K93))</f>
        <v>#VALUE!</v>
      </c>
      <c r="N93" s="160" t="e">
        <f ca="1">IF(G93="Всього:",SUM($N$4:N92),IF($E$5="UAH","",L93))</f>
        <v>#VALUE!</v>
      </c>
      <c r="O93" s="160" t="e">
        <f t="shared" ca="1" si="4"/>
        <v>#VALUE!</v>
      </c>
    </row>
    <row r="94" spans="6:15" x14ac:dyDescent="0.3">
      <c r="F94" s="160" t="e">
        <f t="shared" ca="1" si="5"/>
        <v>#VALUE!</v>
      </c>
      <c r="G94" s="160" t="e">
        <f t="shared" ca="1" si="7"/>
        <v>#VALUE!</v>
      </c>
      <c r="H94" s="160" t="str">
        <f t="shared" ca="1" si="6"/>
        <v/>
      </c>
      <c r="I94" s="160" t="e">
        <f ca="1">IF($G94="Всього:",SUM($I$4:I93),IF(AND(DAY($C$4)&gt;=15,H94=1),K94+L94,$C$32))</f>
        <v>#VALUE!</v>
      </c>
      <c r="J94" s="160" t="e">
        <f ca="1">IF($G94="Всього:",SUM($J$4:J93),IF(I94-SUM(K94:L94)&lt;0,0,I94-SUM(K94:L94)))</f>
        <v>#VALUE!</v>
      </c>
      <c r="K94" s="160" t="e">
        <f ca="1">IF(G94="Всього:",SUM($K$5:K93),IF(F94&lt;&gt;F93,(F94*O93/36000*(G94-CONCATENATE(DAY($C$4),".",MONTH(G93),".",YEAR(G93)))+(F93*O93/36000*(CONCATENATE(DAY($C$4),".",MONTH(G93),".",YEAR(G93))-G93))),F94*O93/36000*(G94-G93)))</f>
        <v>#VALUE!</v>
      </c>
      <c r="L94" s="160" t="e">
        <f ca="1">IF(G94="Всього:",SUM($L$5:L93),$E$4)</f>
        <v>#VALUE!</v>
      </c>
      <c r="M94" s="160" t="e">
        <f ca="1">IF(G94="Всього:",SUM($M$5:M93),IF($E$5="UAH",J94+L94+K94,J94+K94))</f>
        <v>#VALUE!</v>
      </c>
      <c r="N94" s="160" t="e">
        <f ca="1">IF(G94="Всього:",SUM($N$4:N93),IF($E$5="UAH","",L94))</f>
        <v>#VALUE!</v>
      </c>
      <c r="O94" s="160" t="e">
        <f t="shared" ca="1" si="4"/>
        <v>#VALUE!</v>
      </c>
    </row>
    <row r="95" spans="6:15" x14ac:dyDescent="0.3">
      <c r="F95" s="160" t="e">
        <f t="shared" ca="1" si="5"/>
        <v>#VALUE!</v>
      </c>
      <c r="G95" s="160" t="e">
        <f t="shared" ca="1" si="7"/>
        <v>#VALUE!</v>
      </c>
      <c r="H95" s="160" t="str">
        <f t="shared" ca="1" si="6"/>
        <v/>
      </c>
      <c r="I95" s="160" t="e">
        <f ca="1">IF($G95="Всього:",SUM($I$4:I94),IF(AND(DAY($C$4)&gt;=15,H95=1),K95+L95,$C$32))</f>
        <v>#VALUE!</v>
      </c>
      <c r="J95" s="160" t="e">
        <f ca="1">IF($G95="Всього:",SUM($J$4:J94),IF(I95-SUM(K95:L95)&lt;0,0,I95-SUM(K95:L95)))</f>
        <v>#VALUE!</v>
      </c>
      <c r="K95" s="160" t="e">
        <f ca="1">IF(G95="Всього:",SUM($K$5:K94),IF(F95&lt;&gt;F94,(F95*O94/36000*(G95-CONCATENATE(DAY($C$4),".",MONTH(G94),".",YEAR(G94)))+(F94*O94/36000*(CONCATENATE(DAY($C$4),".",MONTH(G94),".",YEAR(G94))-G94))),F95*O94/36000*(G95-G94)))</f>
        <v>#VALUE!</v>
      </c>
      <c r="L95" s="160" t="e">
        <f ca="1">IF(G95="Всього:",SUM($L$5:L94),$E$4)</f>
        <v>#VALUE!</v>
      </c>
      <c r="M95" s="160" t="e">
        <f ca="1">IF(G95="Всього:",SUM($M$5:M94),IF($E$5="UAH",J95+L95+K95,J95+K95))</f>
        <v>#VALUE!</v>
      </c>
      <c r="N95" s="160" t="e">
        <f ca="1">IF(G95="Всього:",SUM($N$4:N94),IF($E$5="UAH","",L95))</f>
        <v>#VALUE!</v>
      </c>
      <c r="O95" s="160" t="e">
        <f t="shared" ca="1" si="4"/>
        <v>#VALUE!</v>
      </c>
    </row>
    <row r="96" spans="6:15" x14ac:dyDescent="0.3">
      <c r="F96" s="160" t="e">
        <f t="shared" ca="1" si="5"/>
        <v>#VALUE!</v>
      </c>
      <c r="G96" s="160" t="e">
        <f t="shared" ca="1" si="7"/>
        <v>#VALUE!</v>
      </c>
      <c r="H96" s="160" t="str">
        <f t="shared" ca="1" si="6"/>
        <v/>
      </c>
      <c r="I96" s="160" t="e">
        <f ca="1">IF($G96="Всього:",SUM($I$4:I95),IF(AND(DAY($C$4)&gt;=15,H96=1),K96+L96,$C$32))</f>
        <v>#VALUE!</v>
      </c>
      <c r="J96" s="160" t="e">
        <f ca="1">IF($G96="Всього:",SUM($J$4:J95),IF(I96-SUM(K96:L96)&lt;0,0,I96-SUM(K96:L96)))</f>
        <v>#VALUE!</v>
      </c>
      <c r="K96" s="160" t="e">
        <f ca="1">IF(G96="Всього:",SUM($K$5:K95),IF(F96&lt;&gt;F95,(F96*O95/36000*(G96-CONCATENATE(DAY($C$4),".",MONTH(G95),".",YEAR(G95)))+(F95*O95/36000*(CONCATENATE(DAY($C$4),".",MONTH(G95),".",YEAR(G95))-G95))),F96*O95/36000*(G96-G95)))</f>
        <v>#VALUE!</v>
      </c>
      <c r="L96" s="160" t="e">
        <f ca="1">IF(G96="Всього:",SUM($L$5:L95),$E$4)</f>
        <v>#VALUE!</v>
      </c>
      <c r="M96" s="160" t="e">
        <f ca="1">IF(G96="Всього:",SUM($M$5:M95),IF($E$5="UAH",J96+L96+K96,J96+K96))</f>
        <v>#VALUE!</v>
      </c>
      <c r="N96" s="160" t="e">
        <f ca="1">IF(G96="Всього:",SUM($N$4:N95),IF($E$5="UAH","",L96))</f>
        <v>#VALUE!</v>
      </c>
      <c r="O96" s="160" t="e">
        <f t="shared" ca="1" si="4"/>
        <v>#VALUE!</v>
      </c>
    </row>
    <row r="97" spans="6:15" x14ac:dyDescent="0.3">
      <c r="F97" s="160" t="e">
        <f t="shared" ca="1" si="5"/>
        <v>#VALUE!</v>
      </c>
      <c r="G97" s="160" t="e">
        <f t="shared" ca="1" si="7"/>
        <v>#VALUE!</v>
      </c>
      <c r="H97" s="160" t="str">
        <f t="shared" ca="1" si="6"/>
        <v/>
      </c>
      <c r="I97" s="160" t="e">
        <f ca="1">IF($G97="Всього:",SUM($I$4:I96),IF(AND(DAY($C$4)&gt;=15,H97=1),K97+L97,$C$32))</f>
        <v>#VALUE!</v>
      </c>
      <c r="J97" s="160" t="e">
        <f ca="1">IF($G97="Всього:",SUM($J$4:J96),IF(I97-SUM(K97:L97)&lt;0,0,I97-SUM(K97:L97)))</f>
        <v>#VALUE!</v>
      </c>
      <c r="K97" s="160" t="e">
        <f ca="1">IF(G97="Всього:",SUM($K$5:K96),IF(F97&lt;&gt;F96,(F97*O96/36000*(G97-CONCATENATE(DAY($C$4),".",MONTH(G96),".",YEAR(G96)))+(F96*O96/36000*(CONCATENATE(DAY($C$4),".",MONTH(G96),".",YEAR(G96))-G96))),F97*O96/36000*(G97-G96)))</f>
        <v>#VALUE!</v>
      </c>
      <c r="L97" s="160" t="e">
        <f ca="1">IF(G97="Всього:",SUM($L$5:L96),$E$4)</f>
        <v>#VALUE!</v>
      </c>
      <c r="M97" s="160" t="e">
        <f ca="1">IF(G97="Всього:",SUM($M$5:M96),IF($E$5="UAH",J97+L97+K97,J97+K97))</f>
        <v>#VALUE!</v>
      </c>
      <c r="N97" s="160" t="e">
        <f ca="1">IF(G97="Всього:",SUM($N$4:N96),IF($E$5="UAH","",L97))</f>
        <v>#VALUE!</v>
      </c>
      <c r="O97" s="160" t="e">
        <f t="shared" ca="1" si="4"/>
        <v>#VALUE!</v>
      </c>
    </row>
    <row r="98" spans="6:15" x14ac:dyDescent="0.3">
      <c r="F98" s="160" t="e">
        <f t="shared" ca="1" si="5"/>
        <v>#VALUE!</v>
      </c>
      <c r="G98" s="160" t="e">
        <f t="shared" ca="1" si="7"/>
        <v>#VALUE!</v>
      </c>
      <c r="H98" s="160" t="str">
        <f t="shared" ca="1" si="6"/>
        <v/>
      </c>
      <c r="I98" s="160" t="e">
        <f ca="1">IF($G98="Всього:",SUM($I$4:I97),IF(AND(DAY($C$4)&gt;=15,H98=1),K98+L98,$C$32))</f>
        <v>#VALUE!</v>
      </c>
      <c r="J98" s="160" t="e">
        <f ca="1">IF($G98="Всього:",SUM($J$4:J97),IF(I98-SUM(K98:L98)&lt;0,0,I98-SUM(K98:L98)))</f>
        <v>#VALUE!</v>
      </c>
      <c r="K98" s="160" t="e">
        <f ca="1">IF(G98="Всього:",SUM($K$5:K97),IF(F98&lt;&gt;F97,(F98*O97/36000*(G98-CONCATENATE(DAY($C$4),".",MONTH(G97),".",YEAR(G97)))+(F97*O97/36000*(CONCATENATE(DAY($C$4),".",MONTH(G97),".",YEAR(G97))-G97))),F98*O97/36000*(G98-G97)))</f>
        <v>#VALUE!</v>
      </c>
      <c r="L98" s="160" t="e">
        <f ca="1">IF(G98="Всього:",SUM($L$5:L97),$E$4)</f>
        <v>#VALUE!</v>
      </c>
      <c r="M98" s="160" t="e">
        <f ca="1">IF(G98="Всього:",SUM($M$5:M97),IF($E$5="UAH",J98+L98+K98,J98+K98))</f>
        <v>#VALUE!</v>
      </c>
      <c r="N98" s="160" t="e">
        <f ca="1">IF(G98="Всього:",SUM($N$4:N97),IF($E$5="UAH","",L98))</f>
        <v>#VALUE!</v>
      </c>
      <c r="O98" s="160" t="e">
        <f t="shared" ca="1" si="4"/>
        <v>#VALUE!</v>
      </c>
    </row>
    <row r="99" spans="6:15" x14ac:dyDescent="0.3">
      <c r="F99" s="160" t="e">
        <f t="shared" ca="1" si="5"/>
        <v>#VALUE!</v>
      </c>
      <c r="G99" s="160" t="e">
        <f t="shared" ca="1" si="7"/>
        <v>#VALUE!</v>
      </c>
      <c r="H99" s="160" t="str">
        <f t="shared" ca="1" si="6"/>
        <v/>
      </c>
      <c r="I99" s="160" t="e">
        <f ca="1">IF($G99="Всього:",SUM($I$4:I98),IF(AND(DAY($C$4)&gt;=15,H99=1),K99+L99,$C$32))</f>
        <v>#VALUE!</v>
      </c>
      <c r="J99" s="160" t="e">
        <f ca="1">IF($G99="Всього:",SUM($J$4:J98),IF(I99-SUM(K99:L99)&lt;0,0,I99-SUM(K99:L99)))</f>
        <v>#VALUE!</v>
      </c>
      <c r="K99" s="160" t="e">
        <f ca="1">IF(G99="Всього:",SUM($K$5:K98),IF(F99&lt;&gt;F98,(F99*O98/36000*(G99-CONCATENATE(DAY($C$4),".",MONTH(G98),".",YEAR(G98)))+(F98*O98/36000*(CONCATENATE(DAY($C$4),".",MONTH(G98),".",YEAR(G98))-G98))),F99*O98/36000*(G99-G98)))</f>
        <v>#VALUE!</v>
      </c>
      <c r="L99" s="160" t="e">
        <f ca="1">IF(G99="Всього:",SUM($L$5:L98),$E$4)</f>
        <v>#VALUE!</v>
      </c>
      <c r="M99" s="160" t="e">
        <f ca="1">IF(G99="Всього:",SUM($M$5:M98),IF($E$5="UAH",J99+L99+K99,J99+K99))</f>
        <v>#VALUE!</v>
      </c>
      <c r="N99" s="160" t="e">
        <f ca="1">IF(G99="Всього:",SUM($N$4:N98),IF($E$5="UAH","",L99))</f>
        <v>#VALUE!</v>
      </c>
      <c r="O99" s="160" t="e">
        <f t="shared" ca="1" si="4"/>
        <v>#VALUE!</v>
      </c>
    </row>
    <row r="100" spans="6:15" x14ac:dyDescent="0.3">
      <c r="F100" s="160" t="e">
        <f t="shared" ca="1" si="5"/>
        <v>#VALUE!</v>
      </c>
      <c r="G100" s="160" t="e">
        <f t="shared" ca="1" si="7"/>
        <v>#VALUE!</v>
      </c>
      <c r="H100" s="160" t="str">
        <f t="shared" ca="1" si="6"/>
        <v/>
      </c>
      <c r="I100" s="160" t="e">
        <f ca="1">IF($G100="Всього:",SUM($I$4:I99),IF(AND(DAY($C$4)&gt;=15,H100=1),K100+L100,$C$32))</f>
        <v>#VALUE!</v>
      </c>
      <c r="J100" s="160" t="e">
        <f ca="1">IF($G100="Всього:",SUM($J$4:J99),IF(I100-SUM(K100:L100)&lt;0,0,I100-SUM(K100:L100)))</f>
        <v>#VALUE!</v>
      </c>
      <c r="K100" s="160" t="e">
        <f ca="1">IF(G100="Всього:",SUM($K$5:K99),IF(F100&lt;&gt;F99,(F100*O99/36000*(G100-CONCATENATE(DAY($C$4),".",MONTH(G99),".",YEAR(G99)))+(F99*O99/36000*(CONCATENATE(DAY($C$4),".",MONTH(G99),".",YEAR(G99))-G99))),F100*O99/36000*(G100-G99)))</f>
        <v>#VALUE!</v>
      </c>
      <c r="L100" s="160" t="e">
        <f ca="1">IF(G100="Всього:",SUM($L$5:L99),$E$4)</f>
        <v>#VALUE!</v>
      </c>
      <c r="M100" s="160" t="e">
        <f ca="1">IF(G100="Всього:",SUM($M$5:M99),IF($E$5="UAH",J100+L100+K100,J100+K100))</f>
        <v>#VALUE!</v>
      </c>
      <c r="N100" s="160" t="e">
        <f ca="1">IF(G100="Всього:",SUM($N$4:N99),IF($E$5="UAH","",L100))</f>
        <v>#VALUE!</v>
      </c>
      <c r="O100" s="160" t="e">
        <f t="shared" ca="1" si="4"/>
        <v>#VALUE!</v>
      </c>
    </row>
    <row r="101" spans="6:15" x14ac:dyDescent="0.3">
      <c r="F101" s="160" t="e">
        <f t="shared" ca="1" si="5"/>
        <v>#VALUE!</v>
      </c>
      <c r="G101" s="160" t="e">
        <f t="shared" ca="1" si="7"/>
        <v>#VALUE!</v>
      </c>
      <c r="H101" s="160" t="str">
        <f t="shared" ca="1" si="6"/>
        <v/>
      </c>
      <c r="I101" s="160" t="e">
        <f ca="1">IF($G101="Всього:",SUM($I$4:I100),IF(AND(DAY($C$4)&gt;=15,H101=1),K101+L101,$C$32))</f>
        <v>#VALUE!</v>
      </c>
      <c r="J101" s="160" t="e">
        <f ca="1">IF($G101="Всього:",SUM($J$4:J100),IF(I101-SUM(K101:L101)&lt;0,0,I101-SUM(K101:L101)))</f>
        <v>#VALUE!</v>
      </c>
      <c r="K101" s="160" t="e">
        <f ca="1">IF(G101="Всього:",SUM($K$5:K100),IF(F101&lt;&gt;F100,(F101*O100/36000*(G101-CONCATENATE(DAY($C$4),".",MONTH(G100),".",YEAR(G100)))+(F100*O100/36000*(CONCATENATE(DAY($C$4),".",MONTH(G100),".",YEAR(G100))-G100))),F101*O100/36000*(G101-G100)))</f>
        <v>#VALUE!</v>
      </c>
      <c r="L101" s="160" t="e">
        <f ca="1">IF(G101="Всього:",SUM($L$5:L100),$E$4)</f>
        <v>#VALUE!</v>
      </c>
      <c r="M101" s="160" t="e">
        <f ca="1">IF(G101="Всього:",SUM($M$5:M100),IF($E$5="UAH",J101+L101+K101,J101+K101))</f>
        <v>#VALUE!</v>
      </c>
      <c r="N101" s="160" t="e">
        <f ca="1">IF(G101="Всього:",SUM($N$4:N100),IF($E$5="UAH","",L101))</f>
        <v>#VALUE!</v>
      </c>
      <c r="O101" s="160" t="e">
        <f t="shared" ca="1" si="4"/>
        <v>#VALUE!</v>
      </c>
    </row>
    <row r="102" spans="6:15" x14ac:dyDescent="0.3">
      <c r="F102" s="160" t="e">
        <f t="shared" ca="1" si="5"/>
        <v>#VALUE!</v>
      </c>
      <c r="G102" s="160" t="e">
        <f t="shared" ca="1" si="7"/>
        <v>#VALUE!</v>
      </c>
      <c r="H102" s="160" t="str">
        <f t="shared" ca="1" si="6"/>
        <v/>
      </c>
      <c r="I102" s="160" t="e">
        <f ca="1">IF($G102="Всього:",SUM($I$4:I101),IF(AND(DAY($C$4)&gt;=15,H102=1),K102+L102,$C$32))</f>
        <v>#VALUE!</v>
      </c>
      <c r="J102" s="160" t="e">
        <f ca="1">IF($G102="Всього:",SUM($J$4:J101),IF(I102-SUM(K102:L102)&lt;0,0,I102-SUM(K102:L102)))</f>
        <v>#VALUE!</v>
      </c>
      <c r="K102" s="160" t="e">
        <f ca="1">IF(G102="Всього:",SUM($K$5:K101),IF(F102&lt;&gt;F101,(F102*O101/36000*(G102-CONCATENATE(DAY($C$4),".",MONTH(G101),".",YEAR(G101)))+(F101*O101/36000*(CONCATENATE(DAY($C$4),".",MONTH(G101),".",YEAR(G101))-G101))),F102*O101/36000*(G102-G101)))</f>
        <v>#VALUE!</v>
      </c>
      <c r="L102" s="160" t="e">
        <f ca="1">IF(G102="Всього:",SUM($L$5:L101),$E$4)</f>
        <v>#VALUE!</v>
      </c>
      <c r="M102" s="160" t="e">
        <f ca="1">IF(G102="Всього:",SUM($M$5:M101),IF($E$5="UAH",J102+L102+K102,J102+K102))</f>
        <v>#VALUE!</v>
      </c>
      <c r="N102" s="160" t="e">
        <f ca="1">IF(G102="Всього:",SUM($N$4:N101),IF($E$5="UAH","",L102))</f>
        <v>#VALUE!</v>
      </c>
      <c r="O102" s="160" t="e">
        <f t="shared" ca="1" si="4"/>
        <v>#VALUE!</v>
      </c>
    </row>
    <row r="103" spans="6:15" x14ac:dyDescent="0.3">
      <c r="F103" s="160" t="e">
        <f t="shared" ca="1" si="5"/>
        <v>#VALUE!</v>
      </c>
      <c r="G103" s="160" t="e">
        <f t="shared" ca="1" si="7"/>
        <v>#VALUE!</v>
      </c>
      <c r="H103" s="160" t="str">
        <f t="shared" ca="1" si="6"/>
        <v/>
      </c>
      <c r="I103" s="160" t="e">
        <f ca="1">IF($G103="Всього:",SUM($I$4:I102),IF(AND(DAY($C$4)&gt;=15,H103=1),K103+L103,$C$32))</f>
        <v>#VALUE!</v>
      </c>
      <c r="J103" s="160" t="e">
        <f ca="1">IF($G103="Всього:",SUM($J$4:J102),IF(I103-SUM(K103:L103)&lt;0,0,I103-SUM(K103:L103)))</f>
        <v>#VALUE!</v>
      </c>
      <c r="K103" s="160" t="e">
        <f ca="1">IF(G103="Всього:",SUM($K$5:K102),IF(F103&lt;&gt;F102,(F103*O102/36000*(G103-CONCATENATE(DAY($C$4),".",MONTH(G102),".",YEAR(G102)))+(F102*O102/36000*(CONCATENATE(DAY($C$4),".",MONTH(G102),".",YEAR(G102))-G102))),F103*O102/36000*(G103-G102)))</f>
        <v>#VALUE!</v>
      </c>
      <c r="L103" s="160" t="e">
        <f ca="1">IF(G103="Всього:",SUM($L$5:L102),$E$4)</f>
        <v>#VALUE!</v>
      </c>
      <c r="M103" s="160" t="e">
        <f ca="1">IF(G103="Всього:",SUM($M$5:M102),IF($E$5="UAH",J103+L103+K103,J103+K103))</f>
        <v>#VALUE!</v>
      </c>
      <c r="N103" s="160" t="e">
        <f ca="1">IF(G103="Всього:",SUM($N$4:N102),IF($E$5="UAH","",L103))</f>
        <v>#VALUE!</v>
      </c>
      <c r="O103" s="160" t="e">
        <f t="shared" ca="1" si="4"/>
        <v>#VALUE!</v>
      </c>
    </row>
    <row r="104" spans="6:15" x14ac:dyDescent="0.3">
      <c r="F104" s="160" t="e">
        <f t="shared" ca="1" si="5"/>
        <v>#VALUE!</v>
      </c>
      <c r="G104" s="160" t="e">
        <f t="shared" ca="1" si="7"/>
        <v>#VALUE!</v>
      </c>
      <c r="H104" s="160" t="str">
        <f t="shared" ca="1" si="6"/>
        <v/>
      </c>
      <c r="I104" s="160" t="e">
        <f ca="1">IF($G104="Всього:",SUM($I$4:I103),IF(AND(DAY($C$4)&gt;=15,H104=1),K104+L104,$C$32))</f>
        <v>#VALUE!</v>
      </c>
      <c r="J104" s="160" t="e">
        <f ca="1">IF($G104="Всього:",SUM($J$4:J103),IF(I104-SUM(K104:L104)&lt;0,0,I104-SUM(K104:L104)))</f>
        <v>#VALUE!</v>
      </c>
      <c r="K104" s="160" t="e">
        <f ca="1">IF(G104="Всього:",SUM($K$5:K103),IF(F104&lt;&gt;F103,(F104*O103/36000*(G104-CONCATENATE(DAY($C$4),".",MONTH(G103),".",YEAR(G103)))+(F103*O103/36000*(CONCATENATE(DAY($C$4),".",MONTH(G103),".",YEAR(G103))-G103))),F104*O103/36000*(G104-G103)))</f>
        <v>#VALUE!</v>
      </c>
      <c r="L104" s="160" t="e">
        <f ca="1">IF(G104="Всього:",SUM($L$5:L103),$E$4)</f>
        <v>#VALUE!</v>
      </c>
      <c r="M104" s="160" t="e">
        <f ca="1">IF(G104="Всього:",SUM($M$5:M103),IF($E$5="UAH",J104+L104+K104,J104+K104))</f>
        <v>#VALUE!</v>
      </c>
      <c r="N104" s="160" t="e">
        <f ca="1">IF(G104="Всього:",SUM($N$4:N103),IF($E$5="UAH","",L104))</f>
        <v>#VALUE!</v>
      </c>
      <c r="O104" s="160" t="e">
        <f t="shared" ca="1" si="4"/>
        <v>#VALUE!</v>
      </c>
    </row>
    <row r="105" spans="6:15" x14ac:dyDescent="0.3">
      <c r="F105" s="160" t="e">
        <f t="shared" ca="1" si="5"/>
        <v>#VALUE!</v>
      </c>
      <c r="G105" s="160" t="e">
        <f t="shared" ca="1" si="7"/>
        <v>#VALUE!</v>
      </c>
      <c r="H105" s="160" t="str">
        <f t="shared" ca="1" si="6"/>
        <v/>
      </c>
      <c r="I105" s="160" t="e">
        <f ca="1">IF($G105="Всього:",SUM($I$4:I104),IF(AND(DAY($C$4)&gt;=15,H105=1),K105+L105,$C$32))</f>
        <v>#VALUE!</v>
      </c>
      <c r="J105" s="160" t="e">
        <f ca="1">IF($G105="Всього:",SUM($J$4:J104),IF(I105-SUM(K105:L105)&lt;0,0,I105-SUM(K105:L105)))</f>
        <v>#VALUE!</v>
      </c>
      <c r="K105" s="160" t="e">
        <f ca="1">IF(G105="Всього:",SUM($K$5:K104),IF(F105&lt;&gt;F104,(F105*O104/36000*(G105-CONCATENATE(DAY($C$4),".",MONTH(G104),".",YEAR(G104)))+(F104*O104/36000*(CONCATENATE(DAY($C$4),".",MONTH(G104),".",YEAR(G104))-G104))),F105*O104/36000*(G105-G104)))</f>
        <v>#VALUE!</v>
      </c>
      <c r="L105" s="160" t="e">
        <f ca="1">IF(G105="Всього:",SUM($L$5:L104),$E$4)</f>
        <v>#VALUE!</v>
      </c>
      <c r="M105" s="160" t="e">
        <f ca="1">IF(G105="Всього:",SUM($M$5:M104),IF($E$5="UAH",J105+L105+K105,J105+K105))</f>
        <v>#VALUE!</v>
      </c>
      <c r="N105" s="160" t="e">
        <f ca="1">IF(G105="Всього:",SUM($N$4:N104),IF($E$5="UAH","",L105))</f>
        <v>#VALUE!</v>
      </c>
      <c r="O105" s="160" t="e">
        <f t="shared" ca="1" si="4"/>
        <v>#VALUE!</v>
      </c>
    </row>
    <row r="106" spans="6:15" x14ac:dyDescent="0.3">
      <c r="F106" s="160" t="e">
        <f t="shared" ca="1" si="5"/>
        <v>#VALUE!</v>
      </c>
      <c r="G106" s="160" t="e">
        <f t="shared" ca="1" si="7"/>
        <v>#VALUE!</v>
      </c>
      <c r="H106" s="160" t="str">
        <f t="shared" ca="1" si="6"/>
        <v/>
      </c>
      <c r="I106" s="160" t="e">
        <f ca="1">IF($G106="Всього:",SUM($I$4:I105),IF(AND(DAY($C$4)&gt;=15,H106=1),K106+L106,$C$32))</f>
        <v>#VALUE!</v>
      </c>
      <c r="J106" s="160" t="e">
        <f ca="1">IF($G106="Всього:",SUM($J$4:J105),IF(I106-SUM(K106:L106)&lt;0,0,I106-SUM(K106:L106)))</f>
        <v>#VALUE!</v>
      </c>
      <c r="K106" s="160" t="e">
        <f ca="1">IF(G106="Всього:",SUM($K$5:K105),IF(F106&lt;&gt;F105,(F106*O105/36000*(G106-CONCATENATE(DAY($C$4),".",MONTH(G105),".",YEAR(G105)))+(F105*O105/36000*(CONCATENATE(DAY($C$4),".",MONTH(G105),".",YEAR(G105))-G105))),F106*O105/36000*(G106-G105)))</f>
        <v>#VALUE!</v>
      </c>
      <c r="L106" s="160" t="e">
        <f ca="1">IF(G106="Всього:",SUM($L$5:L105),$E$4)</f>
        <v>#VALUE!</v>
      </c>
      <c r="M106" s="160" t="e">
        <f ca="1">IF(G106="Всього:",SUM($M$5:M105),IF($E$5="UAH",J106+L106+K106,J106+K106))</f>
        <v>#VALUE!</v>
      </c>
      <c r="N106" s="160" t="e">
        <f ca="1">IF(G106="Всього:",SUM($N$4:N105),IF($E$5="UAH","",L106))</f>
        <v>#VALUE!</v>
      </c>
      <c r="O106" s="160" t="e">
        <f t="shared" ca="1" si="4"/>
        <v>#VALUE!</v>
      </c>
    </row>
    <row r="107" spans="6:15" x14ac:dyDescent="0.3">
      <c r="F107" s="160" t="e">
        <f t="shared" ca="1" si="5"/>
        <v>#VALUE!</v>
      </c>
      <c r="G107" s="160" t="e">
        <f t="shared" ca="1" si="7"/>
        <v>#VALUE!</v>
      </c>
      <c r="H107" s="160" t="str">
        <f t="shared" ca="1" si="6"/>
        <v/>
      </c>
      <c r="I107" s="160" t="e">
        <f ca="1">IF($G107="Всього:",SUM($I$4:I106),IF(AND(DAY($C$4)&gt;=15,H107=1),K107+L107,$C$32))</f>
        <v>#VALUE!</v>
      </c>
      <c r="J107" s="160" t="e">
        <f ca="1">IF($G107="Всього:",SUM($J$4:J106),IF(I107-SUM(K107:L107)&lt;0,0,I107-SUM(K107:L107)))</f>
        <v>#VALUE!</v>
      </c>
      <c r="K107" s="160" t="e">
        <f ca="1">IF(G107="Всього:",SUM($K$5:K106),IF(F107&lt;&gt;F106,(F107*O106/36000*(G107-CONCATENATE(DAY($C$4),".",MONTH(G106),".",YEAR(G106)))+(F106*O106/36000*(CONCATENATE(DAY($C$4),".",MONTH(G106),".",YEAR(G106))-G106))),F107*O106/36000*(G107-G106)))</f>
        <v>#VALUE!</v>
      </c>
      <c r="L107" s="160" t="e">
        <f ca="1">IF(G107="Всього:",SUM($L$5:L106),$E$4)</f>
        <v>#VALUE!</v>
      </c>
      <c r="M107" s="160" t="e">
        <f ca="1">IF(G107="Всього:",SUM($M$5:M106),IF($E$5="UAH",J107+L107+K107,J107+K107))</f>
        <v>#VALUE!</v>
      </c>
      <c r="N107" s="160" t="e">
        <f ca="1">IF(G107="Всього:",SUM($N$4:N106),IF($E$5="UAH","",L107))</f>
        <v>#VALUE!</v>
      </c>
      <c r="O107" s="160" t="e">
        <f t="shared" ca="1" si="4"/>
        <v>#VALUE!</v>
      </c>
    </row>
    <row r="108" spans="6:15" x14ac:dyDescent="0.3">
      <c r="F108" s="160" t="e">
        <f t="shared" ca="1" si="5"/>
        <v>#VALUE!</v>
      </c>
      <c r="G108" s="160" t="e">
        <f t="shared" ca="1" si="7"/>
        <v>#VALUE!</v>
      </c>
      <c r="H108" s="160" t="str">
        <f t="shared" ca="1" si="6"/>
        <v/>
      </c>
      <c r="I108" s="160" t="e">
        <f ca="1">IF($G108="Всього:",SUM($I$4:I107),IF(AND(DAY($C$4)&gt;=15,H108=1),K108+L108,$C$32))</f>
        <v>#VALUE!</v>
      </c>
      <c r="J108" s="160" t="e">
        <f ca="1">IF($G108="Всього:",SUM($J$4:J107),IF(I108-SUM(K108:L108)&lt;0,0,I108-SUM(K108:L108)))</f>
        <v>#VALUE!</v>
      </c>
      <c r="K108" s="160" t="e">
        <f ca="1">IF(G108="Всього:",SUM($K$5:K107),IF(F108&lt;&gt;F107,(F108*O107/36000*(G108-CONCATENATE(DAY($C$4),".",MONTH(G107),".",YEAR(G107)))+(F107*O107/36000*(CONCATENATE(DAY($C$4),".",MONTH(G107),".",YEAR(G107))-G107))),F108*O107/36000*(G108-G107)))</f>
        <v>#VALUE!</v>
      </c>
      <c r="L108" s="160" t="e">
        <f ca="1">IF(G108="Всього:",SUM($L$5:L107),$E$4)</f>
        <v>#VALUE!</v>
      </c>
      <c r="M108" s="160" t="e">
        <f ca="1">IF(G108="Всього:",SUM($M$5:M107),IF($E$5="UAH",J108+L108+K108,J108+K108))</f>
        <v>#VALUE!</v>
      </c>
      <c r="N108" s="160" t="e">
        <f ca="1">IF(G108="Всього:",SUM($N$4:N107),IF($E$5="UAH","",L108))</f>
        <v>#VALUE!</v>
      </c>
      <c r="O108" s="160" t="e">
        <f t="shared" ca="1" si="4"/>
        <v>#VALUE!</v>
      </c>
    </row>
    <row r="109" spans="6:15" x14ac:dyDescent="0.3">
      <c r="F109" s="160" t="e">
        <f t="shared" ca="1" si="5"/>
        <v>#VALUE!</v>
      </c>
      <c r="G109" s="160" t="e">
        <f t="shared" ca="1" si="7"/>
        <v>#VALUE!</v>
      </c>
      <c r="H109" s="160" t="str">
        <f t="shared" ca="1" si="6"/>
        <v/>
      </c>
      <c r="I109" s="160" t="e">
        <f ca="1">IF($G109="Всього:",SUM($I$4:I108),IF(AND(DAY($C$4)&gt;=15,H109=1),K109+L109,$C$32))</f>
        <v>#VALUE!</v>
      </c>
      <c r="J109" s="160" t="e">
        <f ca="1">IF($G109="Всього:",SUM($J$4:J108),IF(I109-SUM(K109:L109)&lt;0,0,I109-SUM(K109:L109)))</f>
        <v>#VALUE!</v>
      </c>
      <c r="K109" s="160" t="e">
        <f ca="1">IF(G109="Всього:",SUM($K$5:K108),IF(F109&lt;&gt;F108,(F109*O108/36000*(G109-CONCATENATE(DAY($C$4),".",MONTH(G108),".",YEAR(G108)))+(F108*O108/36000*(CONCATENATE(DAY($C$4),".",MONTH(G108),".",YEAR(G108))-G108))),F109*O108/36000*(G109-G108)))</f>
        <v>#VALUE!</v>
      </c>
      <c r="L109" s="160" t="e">
        <f ca="1">IF(G109="Всього:",SUM($L$5:L108),$E$4)</f>
        <v>#VALUE!</v>
      </c>
      <c r="M109" s="160" t="e">
        <f ca="1">IF(G109="Всього:",SUM($M$5:M108),IF($E$5="UAH",J109+L109+K109,J109+K109))</f>
        <v>#VALUE!</v>
      </c>
      <c r="N109" s="160" t="e">
        <f ca="1">IF(G109="Всього:",SUM($N$4:N108),IF($E$5="UAH","",L109))</f>
        <v>#VALUE!</v>
      </c>
      <c r="O109" s="160" t="e">
        <f t="shared" ca="1" si="4"/>
        <v>#VALUE!</v>
      </c>
    </row>
    <row r="110" spans="6:15" x14ac:dyDescent="0.3">
      <c r="F110" s="160" t="e">
        <f t="shared" ca="1" si="5"/>
        <v>#VALUE!</v>
      </c>
      <c r="G110" s="160" t="e">
        <f t="shared" ca="1" si="7"/>
        <v>#VALUE!</v>
      </c>
      <c r="H110" s="160" t="str">
        <f t="shared" ca="1" si="6"/>
        <v/>
      </c>
      <c r="I110" s="160" t="e">
        <f ca="1">IF($G110="Всього:",SUM($I$4:I109),IF(AND(DAY($C$4)&gt;=15,H110=1),K110+L110,$C$32))</f>
        <v>#VALUE!</v>
      </c>
      <c r="J110" s="160" t="e">
        <f ca="1">IF($G110="Всього:",SUM($J$4:J109),IF(I110-SUM(K110:L110)&lt;0,0,I110-SUM(K110:L110)))</f>
        <v>#VALUE!</v>
      </c>
      <c r="K110" s="160" t="e">
        <f ca="1">IF(G110="Всього:",SUM($K$5:K109),IF(F110&lt;&gt;F109,(F110*O109/36000*(G110-CONCATENATE(DAY($C$4),".",MONTH(G109),".",YEAR(G109)))+(F109*O109/36000*(CONCATENATE(DAY($C$4),".",MONTH(G109),".",YEAR(G109))-G109))),F110*O109/36000*(G110-G109)))</f>
        <v>#VALUE!</v>
      </c>
      <c r="L110" s="160" t="e">
        <f ca="1">IF(G110="Всього:",SUM($L$5:L109),$E$4)</f>
        <v>#VALUE!</v>
      </c>
      <c r="M110" s="160" t="e">
        <f ca="1">IF(G110="Всього:",SUM($M$5:M109),IF($E$5="UAH",J110+L110+K110,J110+K110))</f>
        <v>#VALUE!</v>
      </c>
      <c r="N110" s="160" t="e">
        <f ca="1">IF(G110="Всього:",SUM($N$4:N109),IF($E$5="UAH","",L110))</f>
        <v>#VALUE!</v>
      </c>
      <c r="O110" s="160" t="e">
        <f t="shared" ca="1" si="4"/>
        <v>#VALUE!</v>
      </c>
    </row>
    <row r="111" spans="6:15" x14ac:dyDescent="0.3">
      <c r="F111" s="160" t="e">
        <f t="shared" ca="1" si="5"/>
        <v>#VALUE!</v>
      </c>
      <c r="G111" s="160" t="e">
        <f t="shared" ca="1" si="7"/>
        <v>#VALUE!</v>
      </c>
      <c r="H111" s="160" t="str">
        <f t="shared" ca="1" si="6"/>
        <v/>
      </c>
      <c r="I111" s="160" t="e">
        <f ca="1">IF($G111="Всього:",SUM($I$4:I110),IF(AND(DAY($C$4)&gt;=15,H111=1),K111+L111,$C$32))</f>
        <v>#VALUE!</v>
      </c>
      <c r="J111" s="160" t="e">
        <f ca="1">IF($G111="Всього:",SUM($J$4:J110),IF(I111-SUM(K111:L111)&lt;0,0,I111-SUM(K111:L111)))</f>
        <v>#VALUE!</v>
      </c>
      <c r="K111" s="160" t="e">
        <f ca="1">IF(G111="Всього:",SUM($K$5:K110),IF(F111&lt;&gt;F110,(F111*O110/36000*(G111-CONCATENATE(DAY($C$4),".",MONTH(G110),".",YEAR(G110)))+(F110*O110/36000*(CONCATENATE(DAY($C$4),".",MONTH(G110),".",YEAR(G110))-G110))),F111*O110/36000*(G111-G110)))</f>
        <v>#VALUE!</v>
      </c>
      <c r="L111" s="160" t="e">
        <f ca="1">IF(G111="Всього:",SUM($L$5:L110),$E$4)</f>
        <v>#VALUE!</v>
      </c>
      <c r="M111" s="160" t="e">
        <f ca="1">IF(G111="Всього:",SUM($M$5:M110),IF($E$5="UAH",J111+L111+K111,J111+K111))</f>
        <v>#VALUE!</v>
      </c>
      <c r="N111" s="160" t="e">
        <f ca="1">IF(G111="Всього:",SUM($N$4:N110),IF($E$5="UAH","",L111))</f>
        <v>#VALUE!</v>
      </c>
      <c r="O111" s="160" t="e">
        <f t="shared" ca="1" si="4"/>
        <v>#VALUE!</v>
      </c>
    </row>
    <row r="112" spans="6:15" x14ac:dyDescent="0.3">
      <c r="F112" s="160" t="e">
        <f t="shared" ca="1" si="5"/>
        <v>#VALUE!</v>
      </c>
      <c r="G112" s="160" t="e">
        <f t="shared" ca="1" si="7"/>
        <v>#VALUE!</v>
      </c>
      <c r="H112" s="160" t="str">
        <f t="shared" ca="1" si="6"/>
        <v/>
      </c>
      <c r="I112" s="160" t="e">
        <f ca="1">IF($G112="Всього:",SUM($I$4:I111),IF(AND(DAY($C$4)&gt;=15,H112=1),K112+L112,$C$32))</f>
        <v>#VALUE!</v>
      </c>
      <c r="J112" s="160" t="e">
        <f ca="1">IF($G112="Всього:",SUM($J$4:J111),IF(I112-SUM(K112:L112)&lt;0,0,I112-SUM(K112:L112)))</f>
        <v>#VALUE!</v>
      </c>
      <c r="K112" s="160" t="e">
        <f ca="1">IF(G112="Всього:",SUM($K$5:K111),IF(F112&lt;&gt;F111,(F112*O111/36000*(G112-CONCATENATE(DAY($C$4),".",MONTH(G111),".",YEAR(G111)))+(F111*O111/36000*(CONCATENATE(DAY($C$4),".",MONTH(G111),".",YEAR(G111))-G111))),F112*O111/36000*(G112-G111)))</f>
        <v>#VALUE!</v>
      </c>
      <c r="L112" s="160" t="e">
        <f ca="1">IF(G112="Всього:",SUM($L$5:L111),$E$4)</f>
        <v>#VALUE!</v>
      </c>
      <c r="M112" s="160" t="e">
        <f ca="1">IF(G112="Всього:",SUM($M$5:M111),IF($E$5="UAH",J112+L112+K112,J112+K112))</f>
        <v>#VALUE!</v>
      </c>
      <c r="N112" s="160" t="e">
        <f ca="1">IF(G112="Всього:",SUM($N$4:N111),IF($E$5="UAH","",L112))</f>
        <v>#VALUE!</v>
      </c>
      <c r="O112" s="160" t="e">
        <f t="shared" ca="1" si="4"/>
        <v>#VALUE!</v>
      </c>
    </row>
    <row r="113" spans="6:15" x14ac:dyDescent="0.3">
      <c r="F113" s="160" t="e">
        <f t="shared" ca="1" si="5"/>
        <v>#VALUE!</v>
      </c>
      <c r="G113" s="160" t="e">
        <f t="shared" ca="1" si="7"/>
        <v>#VALUE!</v>
      </c>
      <c r="H113" s="160" t="str">
        <f t="shared" ca="1" si="6"/>
        <v/>
      </c>
      <c r="I113" s="160" t="e">
        <f ca="1">IF($G113="Всього:",SUM($I$4:I112),IF(AND(DAY($C$4)&gt;=15,H113=1),K113+L113,$C$32))</f>
        <v>#VALUE!</v>
      </c>
      <c r="J113" s="160" t="e">
        <f ca="1">IF($G113="Всього:",SUM($J$4:J112),IF(I113-SUM(K113:L113)&lt;0,0,I113-SUM(K113:L113)))</f>
        <v>#VALUE!</v>
      </c>
      <c r="K113" s="160" t="e">
        <f ca="1">IF(G113="Всього:",SUM($K$5:K112),IF(F113&lt;&gt;F112,(F113*O112/36000*(G113-CONCATENATE(DAY($C$4),".",MONTH(G112),".",YEAR(G112)))+(F112*O112/36000*(CONCATENATE(DAY($C$4),".",MONTH(G112),".",YEAR(G112))-G112))),F113*O112/36000*(G113-G112)))</f>
        <v>#VALUE!</v>
      </c>
      <c r="L113" s="160" t="e">
        <f ca="1">IF(G113="Всього:",SUM($L$5:L112),$E$4)</f>
        <v>#VALUE!</v>
      </c>
      <c r="M113" s="160" t="e">
        <f ca="1">IF(G113="Всього:",SUM($M$5:M112),IF($E$5="UAH",J113+L113+K113,J113+K113))</f>
        <v>#VALUE!</v>
      </c>
      <c r="N113" s="160" t="e">
        <f ca="1">IF(G113="Всього:",SUM($N$4:N112),IF($E$5="UAH","",L113))</f>
        <v>#VALUE!</v>
      </c>
      <c r="O113" s="160" t="e">
        <f t="shared" ca="1" si="4"/>
        <v>#VALUE!</v>
      </c>
    </row>
    <row r="114" spans="6:15" x14ac:dyDescent="0.3">
      <c r="F114" s="160" t="e">
        <f t="shared" ca="1" si="5"/>
        <v>#VALUE!</v>
      </c>
      <c r="G114" s="160" t="e">
        <f t="shared" ca="1" si="7"/>
        <v>#VALUE!</v>
      </c>
      <c r="H114" s="160" t="str">
        <f t="shared" ca="1" si="6"/>
        <v/>
      </c>
      <c r="I114" s="160" t="e">
        <f ca="1">IF($G114="Всього:",SUM($I$4:I113),IF(AND(DAY($C$4)&gt;=15,H114=1),K114+L114,$C$32))</f>
        <v>#VALUE!</v>
      </c>
      <c r="J114" s="160" t="e">
        <f ca="1">IF($G114="Всього:",SUM($J$4:J113),IF(I114-SUM(K114:L114)&lt;0,0,I114-SUM(K114:L114)))</f>
        <v>#VALUE!</v>
      </c>
      <c r="K114" s="160" t="e">
        <f ca="1">IF(G114="Всього:",SUM($K$5:K113),IF(F114&lt;&gt;F113,(F114*O113/36000*(G114-CONCATENATE(DAY($C$4),".",MONTH(G113),".",YEAR(G113)))+(F113*O113/36000*(CONCATENATE(DAY($C$4),".",MONTH(G113),".",YEAR(G113))-G113))),F114*O113/36000*(G114-G113)))</f>
        <v>#VALUE!</v>
      </c>
      <c r="L114" s="160" t="e">
        <f ca="1">IF(G114="Всього:",SUM($L$5:L113),$E$4)</f>
        <v>#VALUE!</v>
      </c>
      <c r="M114" s="160" t="e">
        <f ca="1">IF(G114="Всього:",SUM($M$5:M113),IF($E$5="UAH",J114+L114+K114,J114+K114))</f>
        <v>#VALUE!</v>
      </c>
      <c r="N114" s="160" t="e">
        <f ca="1">IF(G114="Всього:",SUM($N$4:N113),IF($E$5="UAH","",L114))</f>
        <v>#VALUE!</v>
      </c>
      <c r="O114" s="160" t="e">
        <f t="shared" ca="1" si="4"/>
        <v>#VALUE!</v>
      </c>
    </row>
    <row r="115" spans="6:15" x14ac:dyDescent="0.3">
      <c r="F115" s="160" t="e">
        <f t="shared" ca="1" si="5"/>
        <v>#VALUE!</v>
      </c>
      <c r="G115" s="160" t="e">
        <f t="shared" ca="1" si="7"/>
        <v>#VALUE!</v>
      </c>
      <c r="H115" s="160" t="str">
        <f t="shared" ca="1" si="6"/>
        <v/>
      </c>
      <c r="I115" s="160" t="e">
        <f ca="1">IF($G115="Всього:",SUM($I$4:I114),IF(AND(DAY($C$4)&gt;=15,H115=1),K115+L115,$C$32))</f>
        <v>#VALUE!</v>
      </c>
      <c r="J115" s="160" t="e">
        <f ca="1">IF($G115="Всього:",SUM($J$4:J114),IF(I115-SUM(K115:L115)&lt;0,0,I115-SUM(K115:L115)))</f>
        <v>#VALUE!</v>
      </c>
      <c r="K115" s="160" t="e">
        <f ca="1">IF(G115="Всього:",SUM($K$5:K114),IF(F115&lt;&gt;F114,(F115*O114/36000*(G115-CONCATENATE(DAY($C$4),".",MONTH(G114),".",YEAR(G114)))+(F114*O114/36000*(CONCATENATE(DAY($C$4),".",MONTH(G114),".",YEAR(G114))-G114))),F115*O114/36000*(G115-G114)))</f>
        <v>#VALUE!</v>
      </c>
      <c r="L115" s="160" t="e">
        <f ca="1">IF(G115="Всього:",SUM($L$5:L114),$E$4)</f>
        <v>#VALUE!</v>
      </c>
      <c r="M115" s="160" t="e">
        <f ca="1">IF(G115="Всього:",SUM($M$5:M114),IF($E$5="UAH",J115+L115+K115,J115+K115))</f>
        <v>#VALUE!</v>
      </c>
      <c r="N115" s="160" t="e">
        <f ca="1">IF(G115="Всього:",SUM($N$4:N114),IF($E$5="UAH","",L115))</f>
        <v>#VALUE!</v>
      </c>
      <c r="O115" s="160" t="e">
        <f t="shared" ca="1" si="4"/>
        <v>#VALUE!</v>
      </c>
    </row>
    <row r="116" spans="6:15" x14ac:dyDescent="0.3">
      <c r="F116" s="160" t="e">
        <f t="shared" ca="1" si="5"/>
        <v>#VALUE!</v>
      </c>
      <c r="G116" s="160" t="e">
        <f t="shared" ca="1" si="7"/>
        <v>#VALUE!</v>
      </c>
      <c r="H116" s="160" t="str">
        <f t="shared" ca="1" si="6"/>
        <v/>
      </c>
      <c r="I116" s="160" t="e">
        <f ca="1">IF($G116="Всього:",SUM($I$4:I115),IF(AND(DAY($C$4)&gt;=15,H116=1),K116+L116,$C$32))</f>
        <v>#VALUE!</v>
      </c>
      <c r="J116" s="160" t="e">
        <f ca="1">IF($G116="Всього:",SUM($J$4:J115),IF(I116-SUM(K116:L116)&lt;0,0,I116-SUM(K116:L116)))</f>
        <v>#VALUE!</v>
      </c>
      <c r="K116" s="160" t="e">
        <f ca="1">IF(G116="Всього:",SUM($K$5:K115),IF(F116&lt;&gt;F115,(F116*O115/36000*(G116-CONCATENATE(DAY($C$4),".",MONTH(G115),".",YEAR(G115)))+(F115*O115/36000*(CONCATENATE(DAY($C$4),".",MONTH(G115),".",YEAR(G115))-G115))),F116*O115/36000*(G116-G115)))</f>
        <v>#VALUE!</v>
      </c>
      <c r="L116" s="160" t="e">
        <f ca="1">IF(G116="Всього:",SUM($L$5:L115),$E$4)</f>
        <v>#VALUE!</v>
      </c>
      <c r="M116" s="160" t="e">
        <f ca="1">IF(G116="Всього:",SUM($M$5:M115),IF($E$5="UAH",J116+L116+K116,J116+K116))</f>
        <v>#VALUE!</v>
      </c>
      <c r="N116" s="160" t="e">
        <f ca="1">IF(G116="Всього:",SUM($N$4:N115),IF($E$5="UAH","",L116))</f>
        <v>#VALUE!</v>
      </c>
      <c r="O116" s="160" t="e">
        <f t="shared" ca="1" si="4"/>
        <v>#VALUE!</v>
      </c>
    </row>
    <row r="117" spans="6:15" x14ac:dyDescent="0.3">
      <c r="F117" s="160" t="e">
        <f t="shared" ca="1" si="5"/>
        <v>#VALUE!</v>
      </c>
      <c r="G117" s="160" t="e">
        <f t="shared" ca="1" si="7"/>
        <v>#VALUE!</v>
      </c>
      <c r="H117" s="160" t="str">
        <f t="shared" ca="1" si="6"/>
        <v/>
      </c>
      <c r="I117" s="160" t="e">
        <f ca="1">IF($G117="Всього:",SUM($I$4:I116),IF(AND(DAY($C$4)&gt;=15,H117=1),K117+L117,$C$32))</f>
        <v>#VALUE!</v>
      </c>
      <c r="J117" s="160" t="e">
        <f ca="1">IF($G117="Всього:",SUM($J$4:J116),IF(I117-SUM(K117:L117)&lt;0,0,I117-SUM(K117:L117)))</f>
        <v>#VALUE!</v>
      </c>
      <c r="K117" s="160" t="e">
        <f ca="1">IF(G117="Всього:",SUM($K$5:K116),IF(F117&lt;&gt;F116,(F117*O116/36000*(G117-CONCATENATE(DAY($C$4),".",MONTH(G116),".",YEAR(G116)))+(F116*O116/36000*(CONCATENATE(DAY($C$4),".",MONTH(G116),".",YEAR(G116))-G116))),F117*O116/36000*(G117-G116)))</f>
        <v>#VALUE!</v>
      </c>
      <c r="L117" s="160" t="e">
        <f ca="1">IF(G117="Всього:",SUM($L$5:L116),$E$4)</f>
        <v>#VALUE!</v>
      </c>
      <c r="M117" s="160" t="e">
        <f ca="1">IF(G117="Всього:",SUM($M$5:M116),IF($E$5="UAH",J117+L117+K117,J117+K117))</f>
        <v>#VALUE!</v>
      </c>
      <c r="N117" s="160" t="e">
        <f ca="1">IF(G117="Всього:",SUM($N$4:N116),IF($E$5="UAH","",L117))</f>
        <v>#VALUE!</v>
      </c>
      <c r="O117" s="160" t="e">
        <f t="shared" ca="1" si="4"/>
        <v>#VALUE!</v>
      </c>
    </row>
    <row r="118" spans="6:15" x14ac:dyDescent="0.3">
      <c r="F118" s="160" t="e">
        <f t="shared" ca="1" si="5"/>
        <v>#VALUE!</v>
      </c>
      <c r="G118" s="160" t="e">
        <f t="shared" ca="1" si="7"/>
        <v>#VALUE!</v>
      </c>
      <c r="H118" s="160" t="str">
        <f t="shared" ca="1" si="6"/>
        <v/>
      </c>
      <c r="I118" s="160" t="e">
        <f ca="1">IF($G118="Всього:",SUM($I$4:I117),IF(AND(DAY($C$4)&gt;=15,H118=1),K118+L118,$C$32))</f>
        <v>#VALUE!</v>
      </c>
      <c r="J118" s="160" t="e">
        <f ca="1">IF($G118="Всього:",SUM($J$4:J117),IF(I118-SUM(K118:L118)&lt;0,0,I118-SUM(K118:L118)))</f>
        <v>#VALUE!</v>
      </c>
      <c r="K118" s="160" t="e">
        <f ca="1">IF(G118="Всього:",SUM($K$5:K117),IF(F118&lt;&gt;F117,(F118*O117/36000*(G118-CONCATENATE(DAY($C$4),".",MONTH(G117),".",YEAR(G117)))+(F117*O117/36000*(CONCATENATE(DAY($C$4),".",MONTH(G117),".",YEAR(G117))-G117))),F118*O117/36000*(G118-G117)))</f>
        <v>#VALUE!</v>
      </c>
      <c r="L118" s="160" t="e">
        <f ca="1">IF(G118="Всього:",SUM($L$5:L117),$E$4)</f>
        <v>#VALUE!</v>
      </c>
      <c r="M118" s="160" t="e">
        <f ca="1">IF(G118="Всього:",SUM($M$5:M117),IF($E$5="UAH",J118+L118+K118,J118+K118))</f>
        <v>#VALUE!</v>
      </c>
      <c r="N118" s="160" t="e">
        <f ca="1">IF(G118="Всього:",SUM($N$4:N117),IF($E$5="UAH","",L118))</f>
        <v>#VALUE!</v>
      </c>
      <c r="O118" s="160" t="e">
        <f t="shared" ca="1" si="4"/>
        <v>#VALUE!</v>
      </c>
    </row>
    <row r="119" spans="6:15" x14ac:dyDescent="0.3">
      <c r="F119" s="160" t="e">
        <f t="shared" ca="1" si="5"/>
        <v>#VALUE!</v>
      </c>
      <c r="G119" s="160" t="e">
        <f t="shared" ca="1" si="7"/>
        <v>#VALUE!</v>
      </c>
      <c r="H119" s="160" t="str">
        <f t="shared" ca="1" si="6"/>
        <v/>
      </c>
      <c r="I119" s="160" t="e">
        <f ca="1">IF($G119="Всього:",SUM($I$4:I118),IF(AND(DAY($C$4)&gt;=15,H119=1),K119+L119,$C$32))</f>
        <v>#VALUE!</v>
      </c>
      <c r="J119" s="160" t="e">
        <f ca="1">IF($G119="Всього:",SUM($J$4:J118),IF(I119-SUM(K119:L119)&lt;0,0,I119-SUM(K119:L119)))</f>
        <v>#VALUE!</v>
      </c>
      <c r="K119" s="160" t="e">
        <f ca="1">IF(G119="Всього:",SUM($K$5:K118),IF(F119&lt;&gt;F118,(F119*O118/36000*(G119-CONCATENATE(DAY($C$4),".",MONTH(G118),".",YEAR(G118)))+(F118*O118/36000*(CONCATENATE(DAY($C$4),".",MONTH(G118),".",YEAR(G118))-G118))),F119*O118/36000*(G119-G118)))</f>
        <v>#VALUE!</v>
      </c>
      <c r="L119" s="160" t="e">
        <f ca="1">IF(G119="Всього:",SUM($L$5:L118),$E$4)</f>
        <v>#VALUE!</v>
      </c>
      <c r="M119" s="160" t="e">
        <f ca="1">IF(G119="Всього:",SUM($M$5:M118),IF($E$5="UAH",J119+L119+K119,J119+K119))</f>
        <v>#VALUE!</v>
      </c>
      <c r="N119" s="160" t="e">
        <f ca="1">IF(G119="Всього:",SUM($N$4:N118),IF($E$5="UAH","",L119))</f>
        <v>#VALUE!</v>
      </c>
      <c r="O119" s="160" t="e">
        <f t="shared" ca="1" si="4"/>
        <v>#VALUE!</v>
      </c>
    </row>
    <row r="120" spans="6:15" x14ac:dyDescent="0.3">
      <c r="F120" s="160" t="e">
        <f t="shared" ca="1" si="5"/>
        <v>#VALUE!</v>
      </c>
      <c r="G120" s="160" t="e">
        <f t="shared" ca="1" si="7"/>
        <v>#VALUE!</v>
      </c>
      <c r="H120" s="160" t="str">
        <f t="shared" ca="1" si="6"/>
        <v/>
      </c>
      <c r="I120" s="160" t="e">
        <f ca="1">IF($G120="Всього:",SUM($I$4:I119),IF(AND(DAY($C$4)&gt;=15,H120=1),K120+L120,$C$32))</f>
        <v>#VALUE!</v>
      </c>
      <c r="J120" s="160" t="e">
        <f ca="1">IF($G120="Всього:",SUM($J$4:J119),IF(I120-SUM(K120:L120)&lt;0,0,I120-SUM(K120:L120)))</f>
        <v>#VALUE!</v>
      </c>
      <c r="K120" s="160" t="e">
        <f ca="1">IF(G120="Всього:",SUM($K$5:K119),IF(F120&lt;&gt;F119,(F120*O119/36000*(G120-CONCATENATE(DAY($C$4),".",MONTH(G119),".",YEAR(G119)))+(F119*O119/36000*(CONCATENATE(DAY($C$4),".",MONTH(G119),".",YEAR(G119))-G119))),F120*O119/36000*(G120-G119)))</f>
        <v>#VALUE!</v>
      </c>
      <c r="L120" s="160" t="e">
        <f ca="1">IF(G120="Всього:",SUM($L$5:L119),$E$4)</f>
        <v>#VALUE!</v>
      </c>
      <c r="M120" s="160" t="e">
        <f ca="1">IF(G120="Всього:",SUM($M$5:M119),IF($E$5="UAH",J120+L120+K120,J120+K120))</f>
        <v>#VALUE!</v>
      </c>
      <c r="N120" s="160" t="e">
        <f ca="1">IF(G120="Всього:",SUM($N$4:N119),IF($E$5="UAH","",L120))</f>
        <v>#VALUE!</v>
      </c>
      <c r="O120" s="160" t="e">
        <f t="shared" ca="1" si="4"/>
        <v>#VALUE!</v>
      </c>
    </row>
    <row r="121" spans="6:15" x14ac:dyDescent="0.3">
      <c r="F121" s="160" t="e">
        <f t="shared" ca="1" si="5"/>
        <v>#VALUE!</v>
      </c>
      <c r="G121" s="160" t="e">
        <f t="shared" ca="1" si="7"/>
        <v>#VALUE!</v>
      </c>
      <c r="H121" s="160" t="str">
        <f t="shared" ca="1" si="6"/>
        <v/>
      </c>
      <c r="I121" s="160" t="e">
        <f ca="1">IF($G121="Всього:",SUM($I$4:I120),IF(AND(DAY($C$4)&gt;=15,H121=1),K121+L121,$C$32))</f>
        <v>#VALUE!</v>
      </c>
      <c r="J121" s="160" t="e">
        <f ca="1">IF($G121="Всього:",SUM($J$4:J120),IF(I121-SUM(K121:L121)&lt;0,0,I121-SUM(K121:L121)))</f>
        <v>#VALUE!</v>
      </c>
      <c r="K121" s="160" t="e">
        <f ca="1">IF(G121="Всього:",SUM($K$5:K120),IF(F121&lt;&gt;F120,(F121*O120/36000*(G121-CONCATENATE(DAY($C$4),".",MONTH(G120),".",YEAR(G120)))+(F120*O120/36000*(CONCATENATE(DAY($C$4),".",MONTH(G120),".",YEAR(G120))-G120))),F121*O120/36000*(G121-G120)))</f>
        <v>#VALUE!</v>
      </c>
      <c r="L121" s="160" t="e">
        <f ca="1">IF(G121="Всього:",SUM($L$5:L120),$E$4)</f>
        <v>#VALUE!</v>
      </c>
      <c r="M121" s="160" t="e">
        <f ca="1">IF(G121="Всього:",SUM($M$5:M120),IF($E$5="UAH",J121+L121+K121,J121+K121))</f>
        <v>#VALUE!</v>
      </c>
      <c r="N121" s="160" t="e">
        <f ca="1">IF(G121="Всього:",SUM($N$4:N120),IF($E$5="UAH","",L121))</f>
        <v>#VALUE!</v>
      </c>
      <c r="O121" s="160" t="e">
        <f t="shared" ca="1" si="4"/>
        <v>#VALUE!</v>
      </c>
    </row>
    <row r="122" spans="6:15" x14ac:dyDescent="0.3">
      <c r="F122" s="160" t="e">
        <f t="shared" ca="1" si="5"/>
        <v>#VALUE!</v>
      </c>
      <c r="G122" s="160" t="e">
        <f t="shared" ca="1" si="7"/>
        <v>#VALUE!</v>
      </c>
      <c r="H122" s="160" t="str">
        <f t="shared" ca="1" si="6"/>
        <v/>
      </c>
      <c r="I122" s="160" t="e">
        <f ca="1">IF($G122="Всього:",SUM($I$4:I121),IF(AND(DAY($C$4)&gt;=15,H122=1),K122+L122,$C$32))</f>
        <v>#VALUE!</v>
      </c>
      <c r="J122" s="160" t="e">
        <f ca="1">IF($G122="Всього:",SUM($J$4:J121),IF(I122-SUM(K122:L122)&lt;0,0,I122-SUM(K122:L122)))</f>
        <v>#VALUE!</v>
      </c>
      <c r="K122" s="160" t="e">
        <f ca="1">IF(G122="Всього:",SUM($K$5:K121),IF(F122&lt;&gt;F121,(F122*O121/36000*(G122-CONCATENATE(DAY($C$4),".",MONTH(G121),".",YEAR(G121)))+(F121*O121/36000*(CONCATENATE(DAY($C$4),".",MONTH(G121),".",YEAR(G121))-G121))),F122*O121/36000*(G122-G121)))</f>
        <v>#VALUE!</v>
      </c>
      <c r="L122" s="160" t="e">
        <f ca="1">IF(G122="Всього:",SUM($L$5:L121),$E$4)</f>
        <v>#VALUE!</v>
      </c>
      <c r="M122" s="160" t="e">
        <f ca="1">IF(G122="Всього:",SUM($M$5:M121),IF($E$5="UAH",J122+L122+K122,J122+K122))</f>
        <v>#VALUE!</v>
      </c>
      <c r="N122" s="160" t="e">
        <f ca="1">IF(G122="Всього:",SUM($N$4:N121),IF($E$5="UAH","",L122))</f>
        <v>#VALUE!</v>
      </c>
      <c r="O122" s="160" t="e">
        <f t="shared" ca="1" si="4"/>
        <v>#VALUE!</v>
      </c>
    </row>
    <row r="123" spans="6:15" x14ac:dyDescent="0.3">
      <c r="F123" s="160" t="e">
        <f t="shared" ca="1" si="5"/>
        <v>#VALUE!</v>
      </c>
      <c r="G123" s="160" t="e">
        <f t="shared" ca="1" si="7"/>
        <v>#VALUE!</v>
      </c>
      <c r="H123" s="160" t="str">
        <f t="shared" ca="1" si="6"/>
        <v/>
      </c>
      <c r="I123" s="160" t="e">
        <f ca="1">IF($G123="Всього:",SUM($I$4:I122),IF(AND(DAY($C$4)&gt;=15,H123=1),K123+L123,$C$32))</f>
        <v>#VALUE!</v>
      </c>
      <c r="J123" s="160" t="e">
        <f ca="1">IF($G123="Всього:",SUM($J$4:J122),IF(I123-SUM(K123:L123)&lt;0,0,I123-SUM(K123:L123)))</f>
        <v>#VALUE!</v>
      </c>
      <c r="K123" s="160" t="e">
        <f ca="1">IF(G123="Всього:",SUM($K$5:K122),IF(F123&lt;&gt;F122,(F123*O122/36000*(G123-CONCATENATE(DAY($C$4),".",MONTH(G122),".",YEAR(G122)))+(F122*O122/36000*(CONCATENATE(DAY($C$4),".",MONTH(G122),".",YEAR(G122))-G122))),F123*O122/36000*(G123-G122)))</f>
        <v>#VALUE!</v>
      </c>
      <c r="L123" s="160" t="e">
        <f ca="1">IF(G123="Всього:",SUM($L$5:L122),$E$4)</f>
        <v>#VALUE!</v>
      </c>
      <c r="M123" s="160" t="e">
        <f ca="1">IF(G123="Всього:",SUM($M$5:M122),IF($E$5="UAH",J123+L123+K123,J123+K123))</f>
        <v>#VALUE!</v>
      </c>
      <c r="N123" s="160" t="e">
        <f ca="1">IF(G123="Всього:",SUM($N$4:N122),IF($E$5="UAH","",L123))</f>
        <v>#VALUE!</v>
      </c>
      <c r="O123" s="160" t="e">
        <f t="shared" ca="1" si="4"/>
        <v>#VALUE!</v>
      </c>
    </row>
    <row r="124" spans="6:15" x14ac:dyDescent="0.3">
      <c r="F124" s="160" t="e">
        <f t="shared" ca="1" si="5"/>
        <v>#VALUE!</v>
      </c>
      <c r="G124" s="160" t="e">
        <f t="shared" ca="1" si="7"/>
        <v>#VALUE!</v>
      </c>
      <c r="H124" s="160" t="str">
        <f t="shared" ca="1" si="6"/>
        <v/>
      </c>
      <c r="I124" s="160" t="e">
        <f ca="1">IF($G124="Всього:",SUM($I$4:I123),IF(AND(DAY($C$4)&gt;=15,H124=1),K124+L124,$C$32))</f>
        <v>#VALUE!</v>
      </c>
      <c r="J124" s="160" t="e">
        <f ca="1">IF($G124="Всього:",SUM($J$4:J123),IF(I124-SUM(K124:L124)&lt;0,0,I124-SUM(K124:L124)))</f>
        <v>#VALUE!</v>
      </c>
      <c r="K124" s="160" t="e">
        <f ca="1">IF(G124="Всього:",SUM($K$5:K123),IF(F124&lt;&gt;F123,(F124*O123/36000*(G124-CONCATENATE(DAY($C$4),".",MONTH(G123),".",YEAR(G123)))+(F123*O123/36000*(CONCATENATE(DAY($C$4),".",MONTH(G123),".",YEAR(G123))-G123))),F124*O123/36000*(G124-G123)))</f>
        <v>#VALUE!</v>
      </c>
      <c r="L124" s="160" t="e">
        <f ca="1">IF(G124="Всього:",SUM($L$5:L123),$E$4)</f>
        <v>#VALUE!</v>
      </c>
      <c r="M124" s="160" t="e">
        <f ca="1">IF(G124="Всього:",SUM($M$5:M123),IF($E$5="UAH",J124+L124+K124,J124+K124))</f>
        <v>#VALUE!</v>
      </c>
      <c r="N124" s="160" t="e">
        <f ca="1">IF(G124="Всього:",SUM($N$4:N123),IF($E$5="UAH","",L124))</f>
        <v>#VALUE!</v>
      </c>
      <c r="O124" s="160" t="e">
        <f t="shared" ca="1" si="4"/>
        <v>#VALUE!</v>
      </c>
    </row>
    <row r="125" spans="6:15" x14ac:dyDescent="0.3">
      <c r="F125" s="160" t="e">
        <f t="shared" ca="1" si="5"/>
        <v>#VALUE!</v>
      </c>
      <c r="G125" s="160" t="e">
        <f t="shared" ca="1" si="7"/>
        <v>#VALUE!</v>
      </c>
      <c r="H125" s="160" t="str">
        <f t="shared" ca="1" si="6"/>
        <v/>
      </c>
      <c r="I125" s="160" t="e">
        <f ca="1">IF($G125="Всього:",SUM($I$4:I124),IF(AND(DAY($C$4)&gt;=15,H125=1),K125+L125,$C$32))</f>
        <v>#VALUE!</v>
      </c>
      <c r="J125" s="160" t="e">
        <f ca="1">IF($G125="Всього:",SUM($J$4:J124),IF(I125-SUM(K125:L125)&lt;0,0,I125-SUM(K125:L125)))</f>
        <v>#VALUE!</v>
      </c>
      <c r="K125" s="160" t="e">
        <f ca="1">IF(G125="Всього:",SUM($K$5:K124),IF(F125&lt;&gt;F124,(F125*O124/36000*(G125-CONCATENATE(DAY($C$4),".",MONTH(G124),".",YEAR(G124)))+(F124*O124/36000*(CONCATENATE(DAY($C$4),".",MONTH(G124),".",YEAR(G124))-G124))),F125*O124/36000*(G125-G124)))</f>
        <v>#VALUE!</v>
      </c>
      <c r="L125" s="160" t="e">
        <f ca="1">IF(G125="Всього:",SUM($L$5:L124),$E$4)</f>
        <v>#VALUE!</v>
      </c>
      <c r="M125" s="160" t="e">
        <f ca="1">IF(G125="Всього:",SUM($M$5:M124),IF($E$5="UAH",J125+L125+K125,J125+K125))</f>
        <v>#VALUE!</v>
      </c>
      <c r="N125" s="160" t="e">
        <f ca="1">IF(G125="Всього:",SUM($N$4:N124),IF($E$5="UAH","",L125))</f>
        <v>#VALUE!</v>
      </c>
      <c r="O125" s="160" t="e">
        <f t="shared" ca="1" si="4"/>
        <v>#VALUE!</v>
      </c>
    </row>
    <row r="126" spans="6:15" x14ac:dyDescent="0.3">
      <c r="F126" s="160" t="e">
        <f t="shared" ca="1" si="5"/>
        <v>#VALUE!</v>
      </c>
      <c r="G126" s="160" t="e">
        <f t="shared" ca="1" si="7"/>
        <v>#VALUE!</v>
      </c>
      <c r="H126" s="160" t="str">
        <f t="shared" ca="1" si="6"/>
        <v/>
      </c>
      <c r="I126" s="160" t="e">
        <f ca="1">IF($G126="Всього:",SUM($I$4:I125),IF(AND(DAY($C$4)&gt;=15,H126=1),K126+L126,$C$32))</f>
        <v>#VALUE!</v>
      </c>
      <c r="J126" s="160" t="e">
        <f ca="1">IF($G126="Всього:",SUM($J$4:J125),IF(I126-SUM(K126:L126)&lt;0,0,I126-SUM(K126:L126)))</f>
        <v>#VALUE!</v>
      </c>
      <c r="K126" s="160" t="e">
        <f ca="1">IF(G126="Всього:",SUM($K$5:K125),IF(F126&lt;&gt;F125,(F126*O125/36000*(G126-CONCATENATE(DAY($C$4),".",MONTH(G125),".",YEAR(G125)))+(F125*O125/36000*(CONCATENATE(DAY($C$4),".",MONTH(G125),".",YEAR(G125))-G125))),F126*O125/36000*(G126-G125)))</f>
        <v>#VALUE!</v>
      </c>
      <c r="L126" s="160" t="e">
        <f ca="1">IF(G126="Всього:",SUM($L$5:L125),$E$4)</f>
        <v>#VALUE!</v>
      </c>
      <c r="M126" s="160" t="e">
        <f ca="1">IF(G126="Всього:",SUM($M$5:M125),IF($E$5="UAH",J126+L126+K126,J126+K126))</f>
        <v>#VALUE!</v>
      </c>
      <c r="N126" s="160" t="e">
        <f ca="1">IF(G126="Всього:",SUM($N$4:N125),IF($E$5="UAH","",L126))</f>
        <v>#VALUE!</v>
      </c>
      <c r="O126" s="160" t="e">
        <f t="shared" ca="1" si="4"/>
        <v>#VALUE!</v>
      </c>
    </row>
    <row r="127" spans="6:15" x14ac:dyDescent="0.3">
      <c r="F127" s="160" t="e">
        <f t="shared" ca="1" si="5"/>
        <v>#VALUE!</v>
      </c>
      <c r="G127" s="160" t="e">
        <f t="shared" ca="1" si="7"/>
        <v>#VALUE!</v>
      </c>
      <c r="H127" s="160" t="str">
        <f t="shared" ca="1" si="6"/>
        <v/>
      </c>
      <c r="I127" s="160" t="e">
        <f ca="1">IF($G127="Всього:",SUM($I$4:I126),IF(AND(DAY($C$4)&gt;=15,H127=1),K127+L127,$C$32))</f>
        <v>#VALUE!</v>
      </c>
      <c r="J127" s="160" t="e">
        <f ca="1">IF($G127="Всього:",SUM($J$4:J126),IF(I127-SUM(K127:L127)&lt;0,0,I127-SUM(K127:L127)))</f>
        <v>#VALUE!</v>
      </c>
      <c r="K127" s="160" t="e">
        <f ca="1">IF(G127="Всього:",SUM($K$5:K126),IF(F127&lt;&gt;F126,(F127*O126/36000*(G127-CONCATENATE(DAY($C$4),".",MONTH(G126),".",YEAR(G126)))+(F126*O126/36000*(CONCATENATE(DAY($C$4),".",MONTH(G126),".",YEAR(G126))-G126))),F127*O126/36000*(G127-G126)))</f>
        <v>#VALUE!</v>
      </c>
      <c r="L127" s="160" t="e">
        <f ca="1">IF(G127="Всього:",SUM($L$5:L126),$E$4)</f>
        <v>#VALUE!</v>
      </c>
      <c r="M127" s="160" t="e">
        <f ca="1">IF(G127="Всього:",SUM($M$5:M126),IF($E$5="UAH",J127+L127+K127,J127+K127))</f>
        <v>#VALUE!</v>
      </c>
      <c r="N127" s="160" t="e">
        <f ca="1">IF(G127="Всього:",SUM($N$4:N126),IF($E$5="UAH","",L127))</f>
        <v>#VALUE!</v>
      </c>
      <c r="O127" s="160" t="e">
        <f t="shared" ca="1" si="4"/>
        <v>#VALUE!</v>
      </c>
    </row>
    <row r="128" spans="6:15" x14ac:dyDescent="0.3">
      <c r="F128" s="160" t="e">
        <f t="shared" ca="1" si="5"/>
        <v>#VALUE!</v>
      </c>
      <c r="G128" s="160" t="e">
        <f t="shared" ca="1" si="7"/>
        <v>#VALUE!</v>
      </c>
      <c r="H128" s="160" t="str">
        <f t="shared" ca="1" si="6"/>
        <v/>
      </c>
      <c r="I128" s="160" t="e">
        <f ca="1">IF($G128="Всього:",SUM($I$4:I127),IF(AND(DAY($C$4)&gt;=15,H128=1),K128+L128,$C$32))</f>
        <v>#VALUE!</v>
      </c>
      <c r="J128" s="160" t="e">
        <f ca="1">IF($G128="Всього:",SUM($J$4:J127),IF(I128-SUM(K128:L128)&lt;0,0,I128-SUM(K128:L128)))</f>
        <v>#VALUE!</v>
      </c>
      <c r="K128" s="160" t="e">
        <f ca="1">IF(G128="Всього:",SUM($K$5:K127),IF(F128&lt;&gt;F127,(F128*O127/36000*(G128-CONCATENATE(DAY($C$4),".",MONTH(G127),".",YEAR(G127)))+(F127*O127/36000*(CONCATENATE(DAY($C$4),".",MONTH(G127),".",YEAR(G127))-G127))),F128*O127/36000*(G128-G127)))</f>
        <v>#VALUE!</v>
      </c>
      <c r="L128" s="160" t="e">
        <f ca="1">IF(G128="Всього:",SUM($L$5:L127),$E$4)</f>
        <v>#VALUE!</v>
      </c>
      <c r="M128" s="160" t="e">
        <f ca="1">IF(G128="Всього:",SUM($M$5:M127),IF($E$5="UAH",J128+L128+K128,J128+K128))</f>
        <v>#VALUE!</v>
      </c>
      <c r="N128" s="160" t="e">
        <f ca="1">IF(G128="Всього:",SUM($N$4:N127),IF($E$5="UAH","",L128))</f>
        <v>#VALUE!</v>
      </c>
      <c r="O128" s="160" t="e">
        <f t="shared" ca="1" si="4"/>
        <v>#VALUE!</v>
      </c>
    </row>
    <row r="129" spans="6:15" x14ac:dyDescent="0.3">
      <c r="F129" s="160" t="e">
        <f t="shared" ca="1" si="5"/>
        <v>#VALUE!</v>
      </c>
      <c r="G129" s="160" t="e">
        <f t="shared" ca="1" si="7"/>
        <v>#VALUE!</v>
      </c>
      <c r="H129" s="160" t="str">
        <f t="shared" ca="1" si="6"/>
        <v/>
      </c>
      <c r="I129" s="160" t="e">
        <f ca="1">IF($G129="Всього:",SUM($I$4:I128),IF(AND(DAY($C$4)&gt;=15,H129=1),K129+L129,$C$32))</f>
        <v>#VALUE!</v>
      </c>
      <c r="J129" s="160" t="e">
        <f ca="1">IF($G129="Всього:",SUM($J$4:J128),IF(I129-SUM(K129:L129)&lt;0,0,I129-SUM(K129:L129)))</f>
        <v>#VALUE!</v>
      </c>
      <c r="K129" s="160" t="e">
        <f ca="1">IF(G129="Всього:",SUM($K$5:K128),IF(F129&lt;&gt;F128,(F129*O128/36000*(G129-CONCATENATE(DAY($C$4),".",MONTH(G128),".",YEAR(G128)))+(F128*O128/36000*(CONCATENATE(DAY($C$4),".",MONTH(G128),".",YEAR(G128))-G128))),F129*O128/36000*(G129-G128)))</f>
        <v>#VALUE!</v>
      </c>
      <c r="L129" s="160" t="e">
        <f ca="1">IF(G129="Всього:",SUM($L$5:L128),$E$4)</f>
        <v>#VALUE!</v>
      </c>
      <c r="M129" s="160" t="e">
        <f ca="1">IF(G129="Всього:",SUM($M$5:M128),IF($E$5="UAH",J129+L129+K129,J129+K129))</f>
        <v>#VALUE!</v>
      </c>
      <c r="N129" s="160" t="e">
        <f ca="1">IF(G129="Всього:",SUM($N$4:N128),IF($E$5="UAH","",L129))</f>
        <v>#VALUE!</v>
      </c>
      <c r="O129" s="160" t="e">
        <f t="shared" ca="1" si="4"/>
        <v>#VALUE!</v>
      </c>
    </row>
    <row r="130" spans="6:15" x14ac:dyDescent="0.3">
      <c r="F130" s="160" t="e">
        <f t="shared" ca="1" si="5"/>
        <v>#VALUE!</v>
      </c>
      <c r="G130" s="160" t="e">
        <f t="shared" ca="1" si="7"/>
        <v>#VALUE!</v>
      </c>
      <c r="H130" s="160" t="str">
        <f t="shared" ca="1" si="6"/>
        <v/>
      </c>
      <c r="I130" s="160" t="e">
        <f ca="1">IF($G130="Всього:",SUM($I$4:I129),IF(AND(DAY($C$4)&gt;=15,H130=1),K130+L130,$C$32))</f>
        <v>#VALUE!</v>
      </c>
      <c r="J130" s="160" t="e">
        <f ca="1">IF($G130="Всього:",SUM($J$4:J129),IF(I130-SUM(K130:L130)&lt;0,0,I130-SUM(K130:L130)))</f>
        <v>#VALUE!</v>
      </c>
      <c r="K130" s="160" t="e">
        <f ca="1">IF(G130="Всього:",SUM($K$5:K129),IF(F130&lt;&gt;F129,(F130*O129/36000*(G130-CONCATENATE(DAY($C$4),".",MONTH(G129),".",YEAR(G129)))+(F129*O129/36000*(CONCATENATE(DAY($C$4),".",MONTH(G129),".",YEAR(G129))-G129))),F130*O129/36000*(G130-G129)))</f>
        <v>#VALUE!</v>
      </c>
      <c r="L130" s="160" t="e">
        <f ca="1">IF(G130="Всього:",SUM($L$5:L129),$E$4)</f>
        <v>#VALUE!</v>
      </c>
      <c r="M130" s="160" t="e">
        <f ca="1">IF(G130="Всього:",SUM($M$5:M129),IF($E$5="UAH",J130+L130+K130,J130+K130))</f>
        <v>#VALUE!</v>
      </c>
      <c r="N130" s="160" t="e">
        <f ca="1">IF(G130="Всього:",SUM($N$4:N129),IF($E$5="UAH","",L130))</f>
        <v>#VALUE!</v>
      </c>
      <c r="O130" s="160" t="e">
        <f t="shared" ca="1" si="4"/>
        <v>#VALUE!</v>
      </c>
    </row>
    <row r="131" spans="6:15" x14ac:dyDescent="0.3">
      <c r="F131" s="160" t="e">
        <f t="shared" ca="1" si="5"/>
        <v>#VALUE!</v>
      </c>
      <c r="G131" s="160" t="e">
        <f t="shared" ca="1" si="7"/>
        <v>#VALUE!</v>
      </c>
      <c r="H131" s="160" t="str">
        <f t="shared" ca="1" si="6"/>
        <v/>
      </c>
      <c r="I131" s="160" t="e">
        <f ca="1">IF($G131="Всього:",SUM($I$4:I130),IF(AND(DAY($C$4)&gt;=15,H131=1),K131+L131,$C$32))</f>
        <v>#VALUE!</v>
      </c>
      <c r="J131" s="160" t="e">
        <f ca="1">IF($G131="Всього:",SUM($J$4:J130),IF(I131-SUM(K131:L131)&lt;0,0,I131-SUM(K131:L131)))</f>
        <v>#VALUE!</v>
      </c>
      <c r="K131" s="160" t="e">
        <f ca="1">IF(G131="Всього:",SUM($K$5:K130),IF(F131&lt;&gt;F130,(F131*O130/36000*(G131-CONCATENATE(DAY($C$4),".",MONTH(G130),".",YEAR(G130)))+(F130*O130/36000*(CONCATENATE(DAY($C$4),".",MONTH(G130),".",YEAR(G130))-G130))),F131*O130/36000*(G131-G130)))</f>
        <v>#VALUE!</v>
      </c>
      <c r="L131" s="160" t="e">
        <f ca="1">IF(G131="Всього:",SUM($L$5:L130),$E$4)</f>
        <v>#VALUE!</v>
      </c>
      <c r="M131" s="160" t="e">
        <f ca="1">IF(G131="Всього:",SUM($M$5:M130),IF($E$5="UAH",J131+L131+K131,J131+K131))</f>
        <v>#VALUE!</v>
      </c>
      <c r="N131" s="160" t="e">
        <f ca="1">IF(G131="Всього:",SUM($N$4:N130),IF($E$5="UAH","",L131))</f>
        <v>#VALUE!</v>
      </c>
      <c r="O131" s="160" t="e">
        <f t="shared" ca="1" si="4"/>
        <v>#VALUE!</v>
      </c>
    </row>
    <row r="132" spans="6:15" x14ac:dyDescent="0.3">
      <c r="F132" s="160" t="e">
        <f t="shared" ca="1" si="5"/>
        <v>#VALUE!</v>
      </c>
      <c r="G132" s="160" t="e">
        <f t="shared" ca="1" si="7"/>
        <v>#VALUE!</v>
      </c>
      <c r="H132" s="160" t="str">
        <f t="shared" ca="1" si="6"/>
        <v/>
      </c>
      <c r="I132" s="160" t="e">
        <f ca="1">IF($G132="Всього:",SUM($I$4:I131),IF(AND(DAY($C$4)&gt;=15,H132=1),K132+L132,$C$32))</f>
        <v>#VALUE!</v>
      </c>
      <c r="J132" s="160" t="e">
        <f ca="1">IF($G132="Всього:",SUM($J$4:J131),IF(I132-SUM(K132:L132)&lt;0,0,I132-SUM(K132:L132)))</f>
        <v>#VALUE!</v>
      </c>
      <c r="K132" s="160" t="e">
        <f ca="1">IF(G132="Всього:",SUM($K$5:K131),IF(F132&lt;&gt;F131,(F132*O131/36000*(G132-CONCATENATE(DAY($C$4),".",MONTH(G131),".",YEAR(G131)))+(F131*O131/36000*(CONCATENATE(DAY($C$4),".",MONTH(G131),".",YEAR(G131))-G131))),F132*O131/36000*(G132-G131)))</f>
        <v>#VALUE!</v>
      </c>
      <c r="L132" s="160" t="e">
        <f ca="1">IF(G132="Всього:",SUM($L$5:L131),$E$4)</f>
        <v>#VALUE!</v>
      </c>
      <c r="M132" s="160" t="e">
        <f ca="1">IF(G132="Всього:",SUM($M$5:M131),IF($E$5="UAH",J132+L132+K132,J132+K132))</f>
        <v>#VALUE!</v>
      </c>
      <c r="N132" s="160" t="e">
        <f ca="1">IF(G132="Всього:",SUM($N$4:N131),IF($E$5="UAH","",L132))</f>
        <v>#VALUE!</v>
      </c>
      <c r="O132" s="160" t="e">
        <f t="shared" ca="1" si="4"/>
        <v>#VALUE!</v>
      </c>
    </row>
    <row r="133" spans="6:15" x14ac:dyDescent="0.3">
      <c r="F133" s="160" t="e">
        <f t="shared" ca="1" si="5"/>
        <v>#VALUE!</v>
      </c>
      <c r="G133" s="160" t="e">
        <f t="shared" ca="1" si="7"/>
        <v>#VALUE!</v>
      </c>
      <c r="H133" s="160" t="str">
        <f t="shared" ca="1" si="6"/>
        <v/>
      </c>
      <c r="I133" s="160" t="e">
        <f ca="1">IF($G133="Всього:",SUM($I$4:I132),IF(AND(DAY($C$4)&gt;=15,H133=1),K133+L133,$C$32))</f>
        <v>#VALUE!</v>
      </c>
      <c r="J133" s="160" t="e">
        <f ca="1">IF($G133="Всього:",SUM($J$4:J132),IF(I133-SUM(K133:L133)&lt;0,0,I133-SUM(K133:L133)))</f>
        <v>#VALUE!</v>
      </c>
      <c r="K133" s="160" t="e">
        <f ca="1">IF(G133="Всього:",SUM($K$5:K132),IF(F133&lt;&gt;F132,(F133*O132/36000*(G133-CONCATENATE(DAY($C$4),".",MONTH(G132),".",YEAR(G132)))+(F132*O132/36000*(CONCATENATE(DAY($C$4),".",MONTH(G132),".",YEAR(G132))-G132))),F133*O132/36000*(G133-G132)))</f>
        <v>#VALUE!</v>
      </c>
      <c r="L133" s="160" t="e">
        <f ca="1">IF(G133="Всього:",SUM($L$5:L132),$E$4)</f>
        <v>#VALUE!</v>
      </c>
      <c r="M133" s="160" t="e">
        <f ca="1">IF(G133="Всього:",SUM($M$5:M132),IF($E$5="UAH",J133+L133+K133,J133+K133))</f>
        <v>#VALUE!</v>
      </c>
      <c r="N133" s="160" t="e">
        <f ca="1">IF(G133="Всього:",SUM($N$4:N132),IF($E$5="UAH","",L133))</f>
        <v>#VALUE!</v>
      </c>
      <c r="O133" s="160" t="e">
        <f t="shared" ref="O133:O196" ca="1" si="8">O132-J133</f>
        <v>#VALUE!</v>
      </c>
    </row>
    <row r="134" spans="6:15" x14ac:dyDescent="0.3">
      <c r="F134" s="160" t="e">
        <f t="shared" ref="F134:F197" ca="1" si="9">IF(G134="Всього:","",IF(AND(G134&gt;$B$9,G134&lt;=$B$10),$C$16,IF(AND(G134&gt;$B$9,G134&lt;=$B$11),$D$16,IF(AND(G134&gt;$B$10,G134&lt;=$B$14),$E$16,$B$16))))</f>
        <v>#VALUE!</v>
      </c>
      <c r="G134" s="160" t="e">
        <f t="shared" ca="1" si="7"/>
        <v>#VALUE!</v>
      </c>
      <c r="H134" s="160" t="str">
        <f t="shared" ref="H134:H197" ca="1" si="10">IF(H133&gt;$E$8,"",H133+1)</f>
        <v/>
      </c>
      <c r="I134" s="160" t="e">
        <f ca="1">IF($G134="Всього:",SUM($I$4:I133),IF(AND(DAY($C$4)&gt;=15,H134=1),K134+L134,$C$32))</f>
        <v>#VALUE!</v>
      </c>
      <c r="J134" s="160" t="e">
        <f ca="1">IF($G134="Всього:",SUM($J$4:J133),IF(I134-SUM(K134:L134)&lt;0,0,I134-SUM(K134:L134)))</f>
        <v>#VALUE!</v>
      </c>
      <c r="K134" s="160" t="e">
        <f ca="1">IF(G134="Всього:",SUM($K$5:K133),IF(F134&lt;&gt;F133,(F134*O133/36000*(G134-CONCATENATE(DAY($C$4),".",MONTH(G133),".",YEAR(G133)))+(F133*O133/36000*(CONCATENATE(DAY($C$4),".",MONTH(G133),".",YEAR(G133))-G133))),F134*O133/36000*(G134-G133)))</f>
        <v>#VALUE!</v>
      </c>
      <c r="L134" s="160" t="e">
        <f ca="1">IF(G134="Всього:",SUM($L$5:L133),$E$4)</f>
        <v>#VALUE!</v>
      </c>
      <c r="M134" s="160" t="e">
        <f ca="1">IF(G134="Всього:",SUM($M$5:M133),IF($E$5="UAH",J134+L134+K134,J134+K134))</f>
        <v>#VALUE!</v>
      </c>
      <c r="N134" s="160" t="e">
        <f ca="1">IF(G134="Всього:",SUM($N$4:N133),IF($E$5="UAH","",L134))</f>
        <v>#VALUE!</v>
      </c>
      <c r="O134" s="160" t="e">
        <f t="shared" ca="1" si="8"/>
        <v>#VALUE!</v>
      </c>
    </row>
    <row r="135" spans="6:15" x14ac:dyDescent="0.3">
      <c r="F135" s="160" t="e">
        <f t="shared" ca="1" si="9"/>
        <v>#VALUE!</v>
      </c>
      <c r="G135" s="160" t="e">
        <f t="shared" ref="G135:G198" ca="1" si="11">IF(H134=$E$8,"Всього:",IF($E$3+1=H135,$B$14,DATE(YEAR(G134),MONTH(G134)+1,IF($B$7&lt;&gt;"",DAY(IF($B$7&gt;DAY(EOMONTH(G134,1)),EOMONTH(G134,1),$B$7)),DAY(1)))))</f>
        <v>#VALUE!</v>
      </c>
      <c r="H135" s="160" t="str">
        <f t="shared" ca="1" si="10"/>
        <v/>
      </c>
      <c r="I135" s="160" t="e">
        <f ca="1">IF($G135="Всього:",SUM($I$4:I134),IF(AND(DAY($C$4)&gt;=15,H135=1),K135+L135,$C$32))</f>
        <v>#VALUE!</v>
      </c>
      <c r="J135" s="160" t="e">
        <f ca="1">IF($G135="Всього:",SUM($J$4:J134),IF(I135-SUM(K135:L135)&lt;0,0,I135-SUM(K135:L135)))</f>
        <v>#VALUE!</v>
      </c>
      <c r="K135" s="160" t="e">
        <f ca="1">IF(G135="Всього:",SUM($K$5:K134),IF(F135&lt;&gt;F134,(F135*O134/36000*(G135-CONCATENATE(DAY($C$4),".",MONTH(G134),".",YEAR(G134)))+(F134*O134/36000*(CONCATENATE(DAY($C$4),".",MONTH(G134),".",YEAR(G134))-G134))),F135*O134/36000*(G135-G134)))</f>
        <v>#VALUE!</v>
      </c>
      <c r="L135" s="160" t="e">
        <f ca="1">IF(G135="Всього:",SUM($L$5:L134),$E$4)</f>
        <v>#VALUE!</v>
      </c>
      <c r="M135" s="160" t="e">
        <f ca="1">IF(G135="Всього:",SUM($M$5:M134),IF($E$5="UAH",J135+L135+K135,J135+K135))</f>
        <v>#VALUE!</v>
      </c>
      <c r="N135" s="160" t="e">
        <f ca="1">IF(G135="Всього:",SUM($N$4:N134),IF($E$5="UAH","",L135))</f>
        <v>#VALUE!</v>
      </c>
      <c r="O135" s="160" t="e">
        <f t="shared" ca="1" si="8"/>
        <v>#VALUE!</v>
      </c>
    </row>
    <row r="136" spans="6:15" x14ac:dyDescent="0.3">
      <c r="F136" s="160" t="e">
        <f t="shared" ca="1" si="9"/>
        <v>#VALUE!</v>
      </c>
      <c r="G136" s="160" t="e">
        <f t="shared" ca="1" si="11"/>
        <v>#VALUE!</v>
      </c>
      <c r="H136" s="160" t="str">
        <f t="shared" ca="1" si="10"/>
        <v/>
      </c>
      <c r="I136" s="160" t="e">
        <f ca="1">IF($G136="Всього:",SUM($I$4:I135),IF(AND(DAY($C$4)&gt;=15,H136=1),K136+L136,$C$32))</f>
        <v>#VALUE!</v>
      </c>
      <c r="J136" s="160" t="e">
        <f ca="1">IF($G136="Всього:",SUM($J$4:J135),IF(I136-SUM(K136:L136)&lt;0,0,I136-SUM(K136:L136)))</f>
        <v>#VALUE!</v>
      </c>
      <c r="K136" s="160" t="e">
        <f ca="1">IF(G136="Всього:",SUM($K$5:K135),IF(F136&lt;&gt;F135,(F136*O135/36000*(G136-CONCATENATE(DAY($C$4),".",MONTH(G135),".",YEAR(G135)))+(F135*O135/36000*(CONCATENATE(DAY($C$4),".",MONTH(G135),".",YEAR(G135))-G135))),F136*O135/36000*(G136-G135)))</f>
        <v>#VALUE!</v>
      </c>
      <c r="L136" s="160" t="e">
        <f ca="1">IF(G136="Всього:",SUM($L$5:L135),$E$4)</f>
        <v>#VALUE!</v>
      </c>
      <c r="M136" s="160" t="e">
        <f ca="1">IF(G136="Всього:",SUM($M$5:M135),IF($E$5="UAH",J136+L136+K136,J136+K136))</f>
        <v>#VALUE!</v>
      </c>
      <c r="N136" s="160" t="e">
        <f ca="1">IF(G136="Всього:",SUM($N$4:N135),IF($E$5="UAH","",L136))</f>
        <v>#VALUE!</v>
      </c>
      <c r="O136" s="160" t="e">
        <f t="shared" ca="1" si="8"/>
        <v>#VALUE!</v>
      </c>
    </row>
    <row r="137" spans="6:15" x14ac:dyDescent="0.3">
      <c r="F137" s="160" t="e">
        <f t="shared" ca="1" si="9"/>
        <v>#VALUE!</v>
      </c>
      <c r="G137" s="160" t="e">
        <f t="shared" ca="1" si="11"/>
        <v>#VALUE!</v>
      </c>
      <c r="H137" s="160" t="str">
        <f t="shared" ca="1" si="10"/>
        <v/>
      </c>
      <c r="I137" s="160" t="e">
        <f ca="1">IF($G137="Всього:",SUM($I$4:I136),IF(AND(DAY($C$4)&gt;=15,H137=1),K137+L137,$C$32))</f>
        <v>#VALUE!</v>
      </c>
      <c r="J137" s="160" t="e">
        <f ca="1">IF($G137="Всього:",SUM($J$4:J136),IF(I137-SUM(K137:L137)&lt;0,0,I137-SUM(K137:L137)))</f>
        <v>#VALUE!</v>
      </c>
      <c r="K137" s="160" t="e">
        <f ca="1">IF(G137="Всього:",SUM($K$5:K136),IF(F137&lt;&gt;F136,(F137*O136/36000*(G137-CONCATENATE(DAY($C$4),".",MONTH(G136),".",YEAR(G136)))+(F136*O136/36000*(CONCATENATE(DAY($C$4),".",MONTH(G136),".",YEAR(G136))-G136))),F137*O136/36000*(G137-G136)))</f>
        <v>#VALUE!</v>
      </c>
      <c r="L137" s="160" t="e">
        <f ca="1">IF(G137="Всього:",SUM($L$5:L136),$E$4)</f>
        <v>#VALUE!</v>
      </c>
      <c r="M137" s="160" t="e">
        <f ca="1">IF(G137="Всього:",SUM($M$5:M136),IF($E$5="UAH",J137+L137+K137,J137+K137))</f>
        <v>#VALUE!</v>
      </c>
      <c r="N137" s="160" t="e">
        <f ca="1">IF(G137="Всього:",SUM($N$4:N136),IF($E$5="UAH","",L137))</f>
        <v>#VALUE!</v>
      </c>
      <c r="O137" s="160" t="e">
        <f t="shared" ca="1" si="8"/>
        <v>#VALUE!</v>
      </c>
    </row>
    <row r="138" spans="6:15" x14ac:dyDescent="0.3">
      <c r="F138" s="160" t="e">
        <f t="shared" ca="1" si="9"/>
        <v>#VALUE!</v>
      </c>
      <c r="G138" s="160" t="e">
        <f t="shared" ca="1" si="11"/>
        <v>#VALUE!</v>
      </c>
      <c r="H138" s="160" t="str">
        <f t="shared" ca="1" si="10"/>
        <v/>
      </c>
      <c r="I138" s="160" t="e">
        <f ca="1">IF($G138="Всього:",SUM($I$4:I137),IF(AND(DAY($C$4)&gt;=15,H138=1),K138+L138,$C$32))</f>
        <v>#VALUE!</v>
      </c>
      <c r="J138" s="160" t="e">
        <f ca="1">IF($G138="Всього:",SUM($J$4:J137),IF(I138-SUM(K138:L138)&lt;0,0,I138-SUM(K138:L138)))</f>
        <v>#VALUE!</v>
      </c>
      <c r="K138" s="160" t="e">
        <f ca="1">IF(G138="Всього:",SUM($K$5:K137),IF(F138&lt;&gt;F137,(F138*O137/36000*(G138-CONCATENATE(DAY($C$4),".",MONTH(G137),".",YEAR(G137)))+(F137*O137/36000*(CONCATENATE(DAY($C$4),".",MONTH(G137),".",YEAR(G137))-G137))),F138*O137/36000*(G138-G137)))</f>
        <v>#VALUE!</v>
      </c>
      <c r="L138" s="160" t="e">
        <f ca="1">IF(G138="Всього:",SUM($L$5:L137),$E$4)</f>
        <v>#VALUE!</v>
      </c>
      <c r="M138" s="160" t="e">
        <f ca="1">IF(G138="Всього:",SUM($M$5:M137),IF($E$5="UAH",J138+L138+K138,J138+K138))</f>
        <v>#VALUE!</v>
      </c>
      <c r="N138" s="160" t="e">
        <f ca="1">IF(G138="Всього:",SUM($N$4:N137),IF($E$5="UAH","",L138))</f>
        <v>#VALUE!</v>
      </c>
      <c r="O138" s="160" t="e">
        <f t="shared" ca="1" si="8"/>
        <v>#VALUE!</v>
      </c>
    </row>
    <row r="139" spans="6:15" x14ac:dyDescent="0.3">
      <c r="F139" s="160" t="e">
        <f t="shared" ca="1" si="9"/>
        <v>#VALUE!</v>
      </c>
      <c r="G139" s="160" t="e">
        <f t="shared" ca="1" si="11"/>
        <v>#VALUE!</v>
      </c>
      <c r="H139" s="160" t="str">
        <f t="shared" ca="1" si="10"/>
        <v/>
      </c>
      <c r="I139" s="160" t="e">
        <f ca="1">IF($G139="Всього:",SUM($I$4:I138),IF(AND(DAY($C$4)&gt;=15,H139=1),K139+L139,$C$32))</f>
        <v>#VALUE!</v>
      </c>
      <c r="J139" s="160" t="e">
        <f ca="1">IF($G139="Всього:",SUM($J$4:J138),IF(I139-SUM(K139:L139)&lt;0,0,I139-SUM(K139:L139)))</f>
        <v>#VALUE!</v>
      </c>
      <c r="K139" s="160" t="e">
        <f ca="1">IF(G139="Всього:",SUM($K$5:K138),IF(F139&lt;&gt;F138,(F139*O138/36000*(G139-CONCATENATE(DAY($C$4),".",MONTH(G138),".",YEAR(G138)))+(F138*O138/36000*(CONCATENATE(DAY($C$4),".",MONTH(G138),".",YEAR(G138))-G138))),F139*O138/36000*(G139-G138)))</f>
        <v>#VALUE!</v>
      </c>
      <c r="L139" s="160" t="e">
        <f ca="1">IF(G139="Всього:",SUM($L$5:L138),$E$4)</f>
        <v>#VALUE!</v>
      </c>
      <c r="M139" s="160" t="e">
        <f ca="1">IF(G139="Всього:",SUM($M$5:M138),IF($E$5="UAH",J139+L139+K139,J139+K139))</f>
        <v>#VALUE!</v>
      </c>
      <c r="N139" s="160" t="e">
        <f ca="1">IF(G139="Всього:",SUM($N$4:N138),IF($E$5="UAH","",L139))</f>
        <v>#VALUE!</v>
      </c>
      <c r="O139" s="160" t="e">
        <f t="shared" ca="1" si="8"/>
        <v>#VALUE!</v>
      </c>
    </row>
    <row r="140" spans="6:15" x14ac:dyDescent="0.3">
      <c r="F140" s="160" t="e">
        <f t="shared" ca="1" si="9"/>
        <v>#VALUE!</v>
      </c>
      <c r="G140" s="160" t="e">
        <f t="shared" ca="1" si="11"/>
        <v>#VALUE!</v>
      </c>
      <c r="H140" s="160" t="str">
        <f t="shared" ca="1" si="10"/>
        <v/>
      </c>
      <c r="I140" s="160" t="e">
        <f ca="1">IF($G140="Всього:",SUM($I$4:I139),IF(AND(DAY($C$4)&gt;=15,H140=1),K140+L140,$C$32))</f>
        <v>#VALUE!</v>
      </c>
      <c r="J140" s="160" t="e">
        <f ca="1">IF($G140="Всього:",SUM($J$4:J139),IF(I140-SUM(K140:L140)&lt;0,0,I140-SUM(K140:L140)))</f>
        <v>#VALUE!</v>
      </c>
      <c r="K140" s="160" t="e">
        <f ca="1">IF(G140="Всього:",SUM($K$5:K139),IF(F140&lt;&gt;F139,(F140*O139/36000*(G140-CONCATENATE(DAY($C$4),".",MONTH(G139),".",YEAR(G139)))+(F139*O139/36000*(CONCATENATE(DAY($C$4),".",MONTH(G139),".",YEAR(G139))-G139))),F140*O139/36000*(G140-G139)))</f>
        <v>#VALUE!</v>
      </c>
      <c r="L140" s="160" t="e">
        <f ca="1">IF(G140="Всього:",SUM($L$5:L139),$E$4)</f>
        <v>#VALUE!</v>
      </c>
      <c r="M140" s="160" t="e">
        <f ca="1">IF(G140="Всього:",SUM($M$5:M139),IF($E$5="UAH",J140+L140+K140,J140+K140))</f>
        <v>#VALUE!</v>
      </c>
      <c r="N140" s="160" t="e">
        <f ca="1">IF(G140="Всього:",SUM($N$4:N139),IF($E$5="UAH","",L140))</f>
        <v>#VALUE!</v>
      </c>
      <c r="O140" s="160" t="e">
        <f t="shared" ca="1" si="8"/>
        <v>#VALUE!</v>
      </c>
    </row>
    <row r="141" spans="6:15" x14ac:dyDescent="0.3">
      <c r="F141" s="160" t="e">
        <f t="shared" ca="1" si="9"/>
        <v>#VALUE!</v>
      </c>
      <c r="G141" s="160" t="e">
        <f t="shared" ca="1" si="11"/>
        <v>#VALUE!</v>
      </c>
      <c r="H141" s="160" t="str">
        <f t="shared" ca="1" si="10"/>
        <v/>
      </c>
      <c r="I141" s="160" t="e">
        <f ca="1">IF($G141="Всього:",SUM($I$4:I140),IF(AND(DAY($C$4)&gt;=15,H141=1),K141+L141,$C$32))</f>
        <v>#VALUE!</v>
      </c>
      <c r="J141" s="160" t="e">
        <f ca="1">IF($G141="Всього:",SUM($J$4:J140),IF(I141-SUM(K141:L141)&lt;0,0,I141-SUM(K141:L141)))</f>
        <v>#VALUE!</v>
      </c>
      <c r="K141" s="160" t="e">
        <f ca="1">IF(G141="Всього:",SUM($K$5:K140),IF(F141&lt;&gt;F140,(F141*O140/36000*(G141-CONCATENATE(DAY($C$4),".",MONTH(G140),".",YEAR(G140)))+(F140*O140/36000*(CONCATENATE(DAY($C$4),".",MONTH(G140),".",YEAR(G140))-G140))),F141*O140/36000*(G141-G140)))</f>
        <v>#VALUE!</v>
      </c>
      <c r="L141" s="160" t="e">
        <f ca="1">IF(G141="Всього:",SUM($L$5:L140),$E$4)</f>
        <v>#VALUE!</v>
      </c>
      <c r="M141" s="160" t="e">
        <f ca="1">IF(G141="Всього:",SUM($M$5:M140),IF($E$5="UAH",J141+L141+K141,J141+K141))</f>
        <v>#VALUE!</v>
      </c>
      <c r="N141" s="160" t="e">
        <f ca="1">IF(G141="Всього:",SUM($N$4:N140),IF($E$5="UAH","",L141))</f>
        <v>#VALUE!</v>
      </c>
      <c r="O141" s="160" t="e">
        <f t="shared" ca="1" si="8"/>
        <v>#VALUE!</v>
      </c>
    </row>
    <row r="142" spans="6:15" x14ac:dyDescent="0.3">
      <c r="F142" s="160" t="e">
        <f t="shared" ca="1" si="9"/>
        <v>#VALUE!</v>
      </c>
      <c r="G142" s="160" t="e">
        <f t="shared" ca="1" si="11"/>
        <v>#VALUE!</v>
      </c>
      <c r="H142" s="160" t="str">
        <f t="shared" ca="1" si="10"/>
        <v/>
      </c>
      <c r="I142" s="160" t="e">
        <f ca="1">IF($G142="Всього:",SUM($I$4:I141),IF(AND(DAY($C$4)&gt;=15,H142=1),K142+L142,$C$32))</f>
        <v>#VALUE!</v>
      </c>
      <c r="J142" s="160" t="e">
        <f ca="1">IF($G142="Всього:",SUM($J$4:J141),IF(I142-SUM(K142:L142)&lt;0,0,I142-SUM(K142:L142)))</f>
        <v>#VALUE!</v>
      </c>
      <c r="K142" s="160" t="e">
        <f ca="1">IF(G142="Всього:",SUM($K$5:K141),IF(F142&lt;&gt;F141,(F142*O141/36000*(G142-CONCATENATE(DAY($C$4),".",MONTH(G141),".",YEAR(G141)))+(F141*O141/36000*(CONCATENATE(DAY($C$4),".",MONTH(G141),".",YEAR(G141))-G141))),F142*O141/36000*(G142-G141)))</f>
        <v>#VALUE!</v>
      </c>
      <c r="L142" s="160" t="e">
        <f ca="1">IF(G142="Всього:",SUM($L$5:L141),$E$4)</f>
        <v>#VALUE!</v>
      </c>
      <c r="M142" s="160" t="e">
        <f ca="1">IF(G142="Всього:",SUM($M$5:M141),IF($E$5="UAH",J142+L142+K142,J142+K142))</f>
        <v>#VALUE!</v>
      </c>
      <c r="N142" s="160" t="e">
        <f ca="1">IF(G142="Всього:",SUM($N$4:N141),IF($E$5="UAH","",L142))</f>
        <v>#VALUE!</v>
      </c>
      <c r="O142" s="160" t="e">
        <f t="shared" ca="1" si="8"/>
        <v>#VALUE!</v>
      </c>
    </row>
    <row r="143" spans="6:15" x14ac:dyDescent="0.3">
      <c r="F143" s="160" t="e">
        <f t="shared" ca="1" si="9"/>
        <v>#VALUE!</v>
      </c>
      <c r="G143" s="160" t="e">
        <f t="shared" ca="1" si="11"/>
        <v>#VALUE!</v>
      </c>
      <c r="H143" s="160" t="str">
        <f t="shared" ca="1" si="10"/>
        <v/>
      </c>
      <c r="I143" s="160" t="e">
        <f ca="1">IF($G143="Всього:",SUM($I$4:I142),IF(AND(DAY($C$4)&gt;=15,H143=1),K143+L143,$C$32))</f>
        <v>#VALUE!</v>
      </c>
      <c r="J143" s="160" t="e">
        <f ca="1">IF($G143="Всього:",SUM($J$4:J142),IF(I143-SUM(K143:L143)&lt;0,0,I143-SUM(K143:L143)))</f>
        <v>#VALUE!</v>
      </c>
      <c r="K143" s="160" t="e">
        <f ca="1">IF(G143="Всього:",SUM($K$5:K142),IF(F143&lt;&gt;F142,(F143*O142/36000*(G143-CONCATENATE(DAY($C$4),".",MONTH(G142),".",YEAR(G142)))+(F142*O142/36000*(CONCATENATE(DAY($C$4),".",MONTH(G142),".",YEAR(G142))-G142))),F143*O142/36000*(G143-G142)))</f>
        <v>#VALUE!</v>
      </c>
      <c r="L143" s="160" t="e">
        <f ca="1">IF(G143="Всього:",SUM($L$5:L142),$E$4)</f>
        <v>#VALUE!</v>
      </c>
      <c r="M143" s="160" t="e">
        <f ca="1">IF(G143="Всього:",SUM($M$5:M142),IF($E$5="UAH",J143+L143+K143,J143+K143))</f>
        <v>#VALUE!</v>
      </c>
      <c r="N143" s="160" t="e">
        <f ca="1">IF(G143="Всього:",SUM($N$4:N142),IF($E$5="UAH","",L143))</f>
        <v>#VALUE!</v>
      </c>
      <c r="O143" s="160" t="e">
        <f t="shared" ca="1" si="8"/>
        <v>#VALUE!</v>
      </c>
    </row>
    <row r="144" spans="6:15" x14ac:dyDescent="0.3">
      <c r="F144" s="160" t="e">
        <f t="shared" ca="1" si="9"/>
        <v>#VALUE!</v>
      </c>
      <c r="G144" s="160" t="e">
        <f t="shared" ca="1" si="11"/>
        <v>#VALUE!</v>
      </c>
      <c r="H144" s="160" t="str">
        <f t="shared" ca="1" si="10"/>
        <v/>
      </c>
      <c r="I144" s="160" t="e">
        <f ca="1">IF($G144="Всього:",SUM($I$4:I143),IF(AND(DAY($C$4)&gt;=15,H144=1),K144+L144,$C$32))</f>
        <v>#VALUE!</v>
      </c>
      <c r="J144" s="160" t="e">
        <f ca="1">IF($G144="Всього:",SUM($J$4:J143),IF(I144-SUM(K144:L144)&lt;0,0,I144-SUM(K144:L144)))</f>
        <v>#VALUE!</v>
      </c>
      <c r="K144" s="160" t="e">
        <f ca="1">IF(G144="Всього:",SUM($K$5:K143),IF(F144&lt;&gt;F143,(F144*O143/36000*(G144-CONCATENATE(DAY($C$4),".",MONTH(G143),".",YEAR(G143)))+(F143*O143/36000*(CONCATENATE(DAY($C$4),".",MONTH(G143),".",YEAR(G143))-G143))),F144*O143/36000*(G144-G143)))</f>
        <v>#VALUE!</v>
      </c>
      <c r="L144" s="160" t="e">
        <f ca="1">IF(G144="Всього:",SUM($L$5:L143),$E$4)</f>
        <v>#VALUE!</v>
      </c>
      <c r="M144" s="160" t="e">
        <f ca="1">IF(G144="Всього:",SUM($M$5:M143),IF($E$5="UAH",J144+L144+K144,J144+K144))</f>
        <v>#VALUE!</v>
      </c>
      <c r="N144" s="160" t="e">
        <f ca="1">IF(G144="Всього:",SUM($N$4:N143),IF($E$5="UAH","",L144))</f>
        <v>#VALUE!</v>
      </c>
      <c r="O144" s="160" t="e">
        <f t="shared" ca="1" si="8"/>
        <v>#VALUE!</v>
      </c>
    </row>
    <row r="145" spans="6:15" x14ac:dyDescent="0.3">
      <c r="F145" s="160" t="e">
        <f t="shared" ca="1" si="9"/>
        <v>#VALUE!</v>
      </c>
      <c r="G145" s="160" t="e">
        <f t="shared" ca="1" si="11"/>
        <v>#VALUE!</v>
      </c>
      <c r="H145" s="160" t="str">
        <f t="shared" ca="1" si="10"/>
        <v/>
      </c>
      <c r="I145" s="160" t="e">
        <f ca="1">IF($G145="Всього:",SUM($I$4:I144),IF(AND(DAY($C$4)&gt;=15,H145=1),K145+L145,$C$32))</f>
        <v>#VALUE!</v>
      </c>
      <c r="J145" s="160" t="e">
        <f ca="1">IF($G145="Всього:",SUM($J$4:J144),IF(I145-SUM(K145:L145)&lt;0,0,I145-SUM(K145:L145)))</f>
        <v>#VALUE!</v>
      </c>
      <c r="K145" s="160" t="e">
        <f ca="1">IF(G145="Всього:",SUM($K$5:K144),IF(F145&lt;&gt;F144,(F145*O144/36000*(G145-CONCATENATE(DAY($C$4),".",MONTH(G144),".",YEAR(G144)))+(F144*O144/36000*(CONCATENATE(DAY($C$4),".",MONTH(G144),".",YEAR(G144))-G144))),F145*O144/36000*(G145-G144)))</f>
        <v>#VALUE!</v>
      </c>
      <c r="L145" s="160" t="e">
        <f ca="1">IF(G145="Всього:",SUM($L$5:L144),$E$4)</f>
        <v>#VALUE!</v>
      </c>
      <c r="M145" s="160" t="e">
        <f ca="1">IF(G145="Всього:",SUM($M$5:M144),IF($E$5="UAH",J145+L145+K145,J145+K145))</f>
        <v>#VALUE!</v>
      </c>
      <c r="N145" s="160" t="e">
        <f ca="1">IF(G145="Всього:",SUM($N$4:N144),IF($E$5="UAH","",L145))</f>
        <v>#VALUE!</v>
      </c>
      <c r="O145" s="160" t="e">
        <f t="shared" ca="1" si="8"/>
        <v>#VALUE!</v>
      </c>
    </row>
    <row r="146" spans="6:15" x14ac:dyDescent="0.3">
      <c r="F146" s="160" t="e">
        <f t="shared" ca="1" si="9"/>
        <v>#VALUE!</v>
      </c>
      <c r="G146" s="160" t="e">
        <f t="shared" ca="1" si="11"/>
        <v>#VALUE!</v>
      </c>
      <c r="H146" s="160" t="str">
        <f t="shared" ca="1" si="10"/>
        <v/>
      </c>
      <c r="I146" s="160" t="e">
        <f ca="1">IF($G146="Всього:",SUM($I$4:I145),IF(AND(DAY($C$4)&gt;=15,H146=1),K146+L146,$C$32))</f>
        <v>#VALUE!</v>
      </c>
      <c r="J146" s="160" t="e">
        <f ca="1">IF($G146="Всього:",SUM($J$4:J145),IF(I146-SUM(K146:L146)&lt;0,0,I146-SUM(K146:L146)))</f>
        <v>#VALUE!</v>
      </c>
      <c r="K146" s="160" t="e">
        <f ca="1">IF(G146="Всього:",SUM($K$5:K145),IF(F146&lt;&gt;F145,(F146*O145/36000*(G146-CONCATENATE(DAY($C$4),".",MONTH(G145),".",YEAR(G145)))+(F145*O145/36000*(CONCATENATE(DAY($C$4),".",MONTH(G145),".",YEAR(G145))-G145))),F146*O145/36000*(G146-G145)))</f>
        <v>#VALUE!</v>
      </c>
      <c r="L146" s="160" t="e">
        <f ca="1">IF(G146="Всього:",SUM($L$5:L145),$E$4)</f>
        <v>#VALUE!</v>
      </c>
      <c r="M146" s="160" t="e">
        <f ca="1">IF(G146="Всього:",SUM($M$5:M145),IF($E$5="UAH",J146+L146+K146,J146+K146))</f>
        <v>#VALUE!</v>
      </c>
      <c r="N146" s="160" t="e">
        <f ca="1">IF(G146="Всього:",SUM($N$4:N145),IF($E$5="UAH","",L146))</f>
        <v>#VALUE!</v>
      </c>
      <c r="O146" s="160" t="e">
        <f t="shared" ca="1" si="8"/>
        <v>#VALUE!</v>
      </c>
    </row>
    <row r="147" spans="6:15" x14ac:dyDescent="0.3">
      <c r="F147" s="160" t="e">
        <f t="shared" ca="1" si="9"/>
        <v>#VALUE!</v>
      </c>
      <c r="G147" s="160" t="e">
        <f t="shared" ca="1" si="11"/>
        <v>#VALUE!</v>
      </c>
      <c r="H147" s="160" t="str">
        <f t="shared" ca="1" si="10"/>
        <v/>
      </c>
      <c r="I147" s="160" t="e">
        <f ca="1">IF($G147="Всього:",SUM($I$4:I146),IF(AND(DAY($C$4)&gt;=15,H147=1),K147+L147,$C$32))</f>
        <v>#VALUE!</v>
      </c>
      <c r="J147" s="160" t="e">
        <f ca="1">IF($G147="Всього:",SUM($J$4:J146),IF(I147-SUM(K147:L147)&lt;0,0,I147-SUM(K147:L147)))</f>
        <v>#VALUE!</v>
      </c>
      <c r="K147" s="160" t="e">
        <f ca="1">IF(G147="Всього:",SUM($K$5:K146),IF(F147&lt;&gt;F146,(F147*O146/36000*(G147-CONCATENATE(DAY($C$4),".",MONTH(G146),".",YEAR(G146)))+(F146*O146/36000*(CONCATENATE(DAY($C$4),".",MONTH(G146),".",YEAR(G146))-G146))),F147*O146/36000*(G147-G146)))</f>
        <v>#VALUE!</v>
      </c>
      <c r="L147" s="160" t="e">
        <f ca="1">IF(G147="Всього:",SUM($L$5:L146),$E$4)</f>
        <v>#VALUE!</v>
      </c>
      <c r="M147" s="160" t="e">
        <f ca="1">IF(G147="Всього:",SUM($M$5:M146),IF($E$5="UAH",J147+L147+K147,J147+K147))</f>
        <v>#VALUE!</v>
      </c>
      <c r="N147" s="160" t="e">
        <f ca="1">IF(G147="Всього:",SUM($N$4:N146),IF($E$5="UAH","",L147))</f>
        <v>#VALUE!</v>
      </c>
      <c r="O147" s="160" t="e">
        <f t="shared" ca="1" si="8"/>
        <v>#VALUE!</v>
      </c>
    </row>
    <row r="148" spans="6:15" x14ac:dyDescent="0.3">
      <c r="F148" s="160" t="e">
        <f t="shared" ca="1" si="9"/>
        <v>#VALUE!</v>
      </c>
      <c r="G148" s="160" t="e">
        <f t="shared" ca="1" si="11"/>
        <v>#VALUE!</v>
      </c>
      <c r="H148" s="160" t="str">
        <f t="shared" ca="1" si="10"/>
        <v/>
      </c>
      <c r="I148" s="160" t="e">
        <f ca="1">IF($G148="Всього:",SUM($I$4:I147),IF(AND(DAY($C$4)&gt;=15,H148=1),K148+L148,$C$32))</f>
        <v>#VALUE!</v>
      </c>
      <c r="J148" s="160" t="e">
        <f ca="1">IF($G148="Всього:",SUM($J$4:J147),IF(I148-SUM(K148:L148)&lt;0,0,I148-SUM(K148:L148)))</f>
        <v>#VALUE!</v>
      </c>
      <c r="K148" s="160" t="e">
        <f ca="1">IF(G148="Всього:",SUM($K$5:K147),IF(F148&lt;&gt;F147,(F148*O147/36000*(G148-CONCATENATE(DAY($C$4),".",MONTH(G147),".",YEAR(G147)))+(F147*O147/36000*(CONCATENATE(DAY($C$4),".",MONTH(G147),".",YEAR(G147))-G147))),F148*O147/36000*(G148-G147)))</f>
        <v>#VALUE!</v>
      </c>
      <c r="L148" s="160" t="e">
        <f ca="1">IF(G148="Всього:",SUM($L$5:L147),$E$4)</f>
        <v>#VALUE!</v>
      </c>
      <c r="M148" s="160" t="e">
        <f ca="1">IF(G148="Всього:",SUM($M$5:M147),IF($E$5="UAH",J148+L148+K148,J148+K148))</f>
        <v>#VALUE!</v>
      </c>
      <c r="N148" s="160" t="e">
        <f ca="1">IF(G148="Всього:",SUM($N$4:N147),IF($E$5="UAH","",L148))</f>
        <v>#VALUE!</v>
      </c>
      <c r="O148" s="160" t="e">
        <f t="shared" ca="1" si="8"/>
        <v>#VALUE!</v>
      </c>
    </row>
    <row r="149" spans="6:15" x14ac:dyDescent="0.3">
      <c r="F149" s="160" t="e">
        <f t="shared" ca="1" si="9"/>
        <v>#VALUE!</v>
      </c>
      <c r="G149" s="160" t="e">
        <f t="shared" ca="1" si="11"/>
        <v>#VALUE!</v>
      </c>
      <c r="H149" s="160" t="str">
        <f t="shared" ca="1" si="10"/>
        <v/>
      </c>
      <c r="I149" s="160" t="e">
        <f ca="1">IF($G149="Всього:",SUM($I$4:I148),IF(AND(DAY($C$4)&gt;=15,H149=1),K149+L149,$C$32))</f>
        <v>#VALUE!</v>
      </c>
      <c r="J149" s="160" t="e">
        <f ca="1">IF($G149="Всього:",SUM($J$4:J148),IF(I149-SUM(K149:L149)&lt;0,0,I149-SUM(K149:L149)))</f>
        <v>#VALUE!</v>
      </c>
      <c r="K149" s="160" t="e">
        <f ca="1">IF(G149="Всього:",SUM($K$5:K148),IF(F149&lt;&gt;F148,(F149*O148/36000*(G149-CONCATENATE(DAY($C$4),".",MONTH(G148),".",YEAR(G148)))+(F148*O148/36000*(CONCATENATE(DAY($C$4),".",MONTH(G148),".",YEAR(G148))-G148))),F149*O148/36000*(G149-G148)))</f>
        <v>#VALUE!</v>
      </c>
      <c r="L149" s="160" t="e">
        <f ca="1">IF(G149="Всього:",SUM($L$5:L148),$E$4)</f>
        <v>#VALUE!</v>
      </c>
      <c r="M149" s="160" t="e">
        <f ca="1">IF(G149="Всього:",SUM($M$5:M148),IF($E$5="UAH",J149+L149+K149,J149+K149))</f>
        <v>#VALUE!</v>
      </c>
      <c r="N149" s="160" t="e">
        <f ca="1">IF(G149="Всього:",SUM($N$4:N148),IF($E$5="UAH","",L149))</f>
        <v>#VALUE!</v>
      </c>
      <c r="O149" s="160" t="e">
        <f t="shared" ca="1" si="8"/>
        <v>#VALUE!</v>
      </c>
    </row>
    <row r="150" spans="6:15" x14ac:dyDescent="0.3">
      <c r="F150" s="160" t="e">
        <f t="shared" ca="1" si="9"/>
        <v>#VALUE!</v>
      </c>
      <c r="G150" s="160" t="e">
        <f t="shared" ca="1" si="11"/>
        <v>#VALUE!</v>
      </c>
      <c r="H150" s="160" t="str">
        <f t="shared" ca="1" si="10"/>
        <v/>
      </c>
      <c r="I150" s="160" t="e">
        <f ca="1">IF($G150="Всього:",SUM($I$4:I149),IF(AND(DAY($C$4)&gt;=15,H150=1),K150+L150,$C$32))</f>
        <v>#VALUE!</v>
      </c>
      <c r="J150" s="160" t="e">
        <f ca="1">IF($G150="Всього:",SUM($J$4:J149),IF(I150-SUM(K150:L150)&lt;0,0,I150-SUM(K150:L150)))</f>
        <v>#VALUE!</v>
      </c>
      <c r="K150" s="160" t="e">
        <f ca="1">IF(G150="Всього:",SUM($K$5:K149),IF(F150&lt;&gt;F149,(F150*O149/36000*(G150-CONCATENATE(DAY($C$4),".",MONTH(G149),".",YEAR(G149)))+(F149*O149/36000*(CONCATENATE(DAY($C$4),".",MONTH(G149),".",YEAR(G149))-G149))),F150*O149/36000*(G150-G149)))</f>
        <v>#VALUE!</v>
      </c>
      <c r="L150" s="160" t="e">
        <f ca="1">IF(G150="Всього:",SUM($L$5:L149),$E$4)</f>
        <v>#VALUE!</v>
      </c>
      <c r="M150" s="160" t="e">
        <f ca="1">IF(G150="Всього:",SUM($M$5:M149),IF($E$5="UAH",J150+L150+K150,J150+K150))</f>
        <v>#VALUE!</v>
      </c>
      <c r="N150" s="160" t="e">
        <f ca="1">IF(G150="Всього:",SUM($N$4:N149),IF($E$5="UAH","",L150))</f>
        <v>#VALUE!</v>
      </c>
      <c r="O150" s="160" t="e">
        <f t="shared" ca="1" si="8"/>
        <v>#VALUE!</v>
      </c>
    </row>
    <row r="151" spans="6:15" x14ac:dyDescent="0.3">
      <c r="F151" s="160" t="e">
        <f t="shared" ca="1" si="9"/>
        <v>#VALUE!</v>
      </c>
      <c r="G151" s="160" t="e">
        <f t="shared" ca="1" si="11"/>
        <v>#VALUE!</v>
      </c>
      <c r="H151" s="160" t="str">
        <f t="shared" ca="1" si="10"/>
        <v/>
      </c>
      <c r="I151" s="160" t="e">
        <f ca="1">IF($G151="Всього:",SUM($I$4:I150),IF(AND(DAY($C$4)&gt;=15,H151=1),K151+L151,$C$32))</f>
        <v>#VALUE!</v>
      </c>
      <c r="J151" s="160" t="e">
        <f ca="1">IF($G151="Всього:",SUM($J$4:J150),IF(I151-SUM(K151:L151)&lt;0,0,I151-SUM(K151:L151)))</f>
        <v>#VALUE!</v>
      </c>
      <c r="K151" s="160" t="e">
        <f ca="1">IF(G151="Всього:",SUM($K$5:K150),IF(F151&lt;&gt;F150,(F151*O150/36000*(G151-CONCATENATE(DAY($C$4),".",MONTH(G150),".",YEAR(G150)))+(F150*O150/36000*(CONCATENATE(DAY($C$4),".",MONTH(G150),".",YEAR(G150))-G150))),F151*O150/36000*(G151-G150)))</f>
        <v>#VALUE!</v>
      </c>
      <c r="L151" s="160" t="e">
        <f ca="1">IF(G151="Всього:",SUM($L$5:L150),$E$4)</f>
        <v>#VALUE!</v>
      </c>
      <c r="M151" s="160" t="e">
        <f ca="1">IF(G151="Всього:",SUM($M$5:M150),IF($E$5="UAH",J151+L151+K151,J151+K151))</f>
        <v>#VALUE!</v>
      </c>
      <c r="N151" s="160" t="e">
        <f ca="1">IF(G151="Всього:",SUM($N$4:N150),IF($E$5="UAH","",L151))</f>
        <v>#VALUE!</v>
      </c>
      <c r="O151" s="160" t="e">
        <f t="shared" ca="1" si="8"/>
        <v>#VALUE!</v>
      </c>
    </row>
    <row r="152" spans="6:15" x14ac:dyDescent="0.3">
      <c r="F152" s="160" t="e">
        <f t="shared" ca="1" si="9"/>
        <v>#VALUE!</v>
      </c>
      <c r="G152" s="160" t="e">
        <f t="shared" ca="1" si="11"/>
        <v>#VALUE!</v>
      </c>
      <c r="H152" s="160" t="str">
        <f t="shared" ca="1" si="10"/>
        <v/>
      </c>
      <c r="I152" s="160" t="e">
        <f ca="1">IF($G152="Всього:",SUM($I$4:I151),IF(AND(DAY($C$4)&gt;=15,H152=1),K152+L152,$C$32))</f>
        <v>#VALUE!</v>
      </c>
      <c r="J152" s="160" t="e">
        <f ca="1">IF($G152="Всього:",SUM($J$4:J151),IF(I152-SUM(K152:L152)&lt;0,0,I152-SUM(K152:L152)))</f>
        <v>#VALUE!</v>
      </c>
      <c r="K152" s="160" t="e">
        <f ca="1">IF(G152="Всього:",SUM($K$5:K151),IF(F152&lt;&gt;F151,(F152*O151/36000*(G152-CONCATENATE(DAY($C$4),".",MONTH(G151),".",YEAR(G151)))+(F151*O151/36000*(CONCATENATE(DAY($C$4),".",MONTH(G151),".",YEAR(G151))-G151))),F152*O151/36000*(G152-G151)))</f>
        <v>#VALUE!</v>
      </c>
      <c r="L152" s="160" t="e">
        <f ca="1">IF(G152="Всього:",SUM($L$5:L151),$E$4)</f>
        <v>#VALUE!</v>
      </c>
      <c r="M152" s="160" t="e">
        <f ca="1">IF(G152="Всього:",SUM($M$5:M151),IF($E$5="UAH",J152+L152+K152,J152+K152))</f>
        <v>#VALUE!</v>
      </c>
      <c r="N152" s="160" t="e">
        <f ca="1">IF(G152="Всього:",SUM($N$4:N151),IF($E$5="UAH","",L152))</f>
        <v>#VALUE!</v>
      </c>
      <c r="O152" s="160" t="e">
        <f t="shared" ca="1" si="8"/>
        <v>#VALUE!</v>
      </c>
    </row>
    <row r="153" spans="6:15" x14ac:dyDescent="0.3">
      <c r="F153" s="160" t="e">
        <f t="shared" ca="1" si="9"/>
        <v>#VALUE!</v>
      </c>
      <c r="G153" s="160" t="e">
        <f t="shared" ca="1" si="11"/>
        <v>#VALUE!</v>
      </c>
      <c r="H153" s="160" t="str">
        <f t="shared" ca="1" si="10"/>
        <v/>
      </c>
      <c r="I153" s="160" t="e">
        <f ca="1">IF($G153="Всього:",SUM($I$4:I152),IF(AND(DAY($C$4)&gt;=15,H153=1),K153+L153,$C$32))</f>
        <v>#VALUE!</v>
      </c>
      <c r="J153" s="160" t="e">
        <f ca="1">IF($G153="Всього:",SUM($J$4:J152),IF(I153-SUM(K153:L153)&lt;0,0,I153-SUM(K153:L153)))</f>
        <v>#VALUE!</v>
      </c>
      <c r="K153" s="160" t="e">
        <f ca="1">IF(G153="Всього:",SUM($K$5:K152),IF(F153&lt;&gt;F152,(F153*O152/36000*(G153-CONCATENATE(DAY($C$4),".",MONTH(G152),".",YEAR(G152)))+(F152*O152/36000*(CONCATENATE(DAY($C$4),".",MONTH(G152),".",YEAR(G152))-G152))),F153*O152/36000*(G153-G152)))</f>
        <v>#VALUE!</v>
      </c>
      <c r="L153" s="160" t="e">
        <f ca="1">IF(G153="Всього:",SUM($L$5:L152),$E$4)</f>
        <v>#VALUE!</v>
      </c>
      <c r="M153" s="160" t="e">
        <f ca="1">IF(G153="Всього:",SUM($M$5:M152),IF($E$5="UAH",J153+L153+K153,J153+K153))</f>
        <v>#VALUE!</v>
      </c>
      <c r="N153" s="160" t="e">
        <f ca="1">IF(G153="Всього:",SUM($N$4:N152),IF($E$5="UAH","",L153))</f>
        <v>#VALUE!</v>
      </c>
      <c r="O153" s="160" t="e">
        <f t="shared" ca="1" si="8"/>
        <v>#VALUE!</v>
      </c>
    </row>
    <row r="154" spans="6:15" x14ac:dyDescent="0.3">
      <c r="F154" s="160" t="e">
        <f t="shared" ca="1" si="9"/>
        <v>#VALUE!</v>
      </c>
      <c r="G154" s="160" t="e">
        <f t="shared" ca="1" si="11"/>
        <v>#VALUE!</v>
      </c>
      <c r="H154" s="160" t="str">
        <f t="shared" ca="1" si="10"/>
        <v/>
      </c>
      <c r="I154" s="160" t="e">
        <f ca="1">IF($G154="Всього:",SUM($I$4:I153),IF(AND(DAY($C$4)&gt;=15,H154=1),K154+L154,$C$32))</f>
        <v>#VALUE!</v>
      </c>
      <c r="J154" s="160" t="e">
        <f ca="1">IF($G154="Всього:",SUM($J$4:J153),IF(I154-SUM(K154:L154)&lt;0,0,I154-SUM(K154:L154)))</f>
        <v>#VALUE!</v>
      </c>
      <c r="K154" s="160" t="e">
        <f ca="1">IF(G154="Всього:",SUM($K$5:K153),IF(F154&lt;&gt;F153,(F154*O153/36000*(G154-CONCATENATE(DAY($C$4),".",MONTH(G153),".",YEAR(G153)))+(F153*O153/36000*(CONCATENATE(DAY($C$4),".",MONTH(G153),".",YEAR(G153))-G153))),F154*O153/36000*(G154-G153)))</f>
        <v>#VALUE!</v>
      </c>
      <c r="L154" s="160" t="e">
        <f ca="1">IF(G154="Всього:",SUM($L$5:L153),$E$4)</f>
        <v>#VALUE!</v>
      </c>
      <c r="M154" s="160" t="e">
        <f ca="1">IF(G154="Всього:",SUM($M$5:M153),IF($E$5="UAH",J154+L154+K154,J154+K154))</f>
        <v>#VALUE!</v>
      </c>
      <c r="N154" s="160" t="e">
        <f ca="1">IF(G154="Всього:",SUM($N$4:N153),IF($E$5="UAH","",L154))</f>
        <v>#VALUE!</v>
      </c>
      <c r="O154" s="160" t="e">
        <f t="shared" ca="1" si="8"/>
        <v>#VALUE!</v>
      </c>
    </row>
    <row r="155" spans="6:15" x14ac:dyDescent="0.3">
      <c r="F155" s="160" t="e">
        <f t="shared" ca="1" si="9"/>
        <v>#VALUE!</v>
      </c>
      <c r="G155" s="160" t="e">
        <f t="shared" ca="1" si="11"/>
        <v>#VALUE!</v>
      </c>
      <c r="H155" s="160" t="str">
        <f t="shared" ca="1" si="10"/>
        <v/>
      </c>
      <c r="I155" s="160" t="e">
        <f ca="1">IF($G155="Всього:",SUM($I$4:I154),IF(AND(DAY($C$4)&gt;=15,H155=1),K155+L155,$C$32))</f>
        <v>#VALUE!</v>
      </c>
      <c r="J155" s="160" t="e">
        <f ca="1">IF($G155="Всього:",SUM($J$4:J154),IF(I155-SUM(K155:L155)&lt;0,0,I155-SUM(K155:L155)))</f>
        <v>#VALUE!</v>
      </c>
      <c r="K155" s="160" t="e">
        <f ca="1">IF(G155="Всього:",SUM($K$5:K154),IF(F155&lt;&gt;F154,(F155*O154/36000*(G155-CONCATENATE(DAY($C$4),".",MONTH(G154),".",YEAR(G154)))+(F154*O154/36000*(CONCATENATE(DAY($C$4),".",MONTH(G154),".",YEAR(G154))-G154))),F155*O154/36000*(G155-G154)))</f>
        <v>#VALUE!</v>
      </c>
      <c r="L155" s="160" t="e">
        <f ca="1">IF(G155="Всього:",SUM($L$5:L154),$E$4)</f>
        <v>#VALUE!</v>
      </c>
      <c r="M155" s="160" t="e">
        <f ca="1">IF(G155="Всього:",SUM($M$5:M154),IF($E$5="UAH",J155+L155+K155,J155+K155))</f>
        <v>#VALUE!</v>
      </c>
      <c r="N155" s="160" t="e">
        <f ca="1">IF(G155="Всього:",SUM($N$4:N154),IF($E$5="UAH","",L155))</f>
        <v>#VALUE!</v>
      </c>
      <c r="O155" s="160" t="e">
        <f t="shared" ca="1" si="8"/>
        <v>#VALUE!</v>
      </c>
    </row>
    <row r="156" spans="6:15" x14ac:dyDescent="0.3">
      <c r="F156" s="160" t="e">
        <f t="shared" ca="1" si="9"/>
        <v>#VALUE!</v>
      </c>
      <c r="G156" s="160" t="e">
        <f t="shared" ca="1" si="11"/>
        <v>#VALUE!</v>
      </c>
      <c r="H156" s="160" t="str">
        <f t="shared" ca="1" si="10"/>
        <v/>
      </c>
      <c r="I156" s="160" t="e">
        <f ca="1">IF($G156="Всього:",SUM($I$4:I155),IF(AND(DAY($C$4)&gt;=15,H156=1),K156+L156,$C$32))</f>
        <v>#VALUE!</v>
      </c>
      <c r="J156" s="160" t="e">
        <f ca="1">IF($G156="Всього:",SUM($J$4:J155),IF(I156-SUM(K156:L156)&lt;0,0,I156-SUM(K156:L156)))</f>
        <v>#VALUE!</v>
      </c>
      <c r="K156" s="160" t="e">
        <f ca="1">IF(G156="Всього:",SUM($K$5:K155),IF(F156&lt;&gt;F155,(F156*O155/36000*(G156-CONCATENATE(DAY($C$4),".",MONTH(G155),".",YEAR(G155)))+(F155*O155/36000*(CONCATENATE(DAY($C$4),".",MONTH(G155),".",YEAR(G155))-G155))),F156*O155/36000*(G156-G155)))</f>
        <v>#VALUE!</v>
      </c>
      <c r="L156" s="160" t="e">
        <f ca="1">IF(G156="Всього:",SUM($L$5:L155),$E$4)</f>
        <v>#VALUE!</v>
      </c>
      <c r="M156" s="160" t="e">
        <f ca="1">IF(G156="Всього:",SUM($M$5:M155),IF($E$5="UAH",J156+L156+K156,J156+K156))</f>
        <v>#VALUE!</v>
      </c>
      <c r="N156" s="160" t="e">
        <f ca="1">IF(G156="Всього:",SUM($N$4:N155),IF($E$5="UAH","",L156))</f>
        <v>#VALUE!</v>
      </c>
      <c r="O156" s="160" t="e">
        <f t="shared" ca="1" si="8"/>
        <v>#VALUE!</v>
      </c>
    </row>
    <row r="157" spans="6:15" x14ac:dyDescent="0.3">
      <c r="F157" s="160" t="e">
        <f t="shared" ca="1" si="9"/>
        <v>#VALUE!</v>
      </c>
      <c r="G157" s="160" t="e">
        <f t="shared" ca="1" si="11"/>
        <v>#VALUE!</v>
      </c>
      <c r="H157" s="160" t="str">
        <f t="shared" ca="1" si="10"/>
        <v/>
      </c>
      <c r="I157" s="160" t="e">
        <f ca="1">IF($G157="Всього:",SUM($I$4:I156),IF(AND(DAY($C$4)&gt;=15,H157=1),K157+L157,$C$32))</f>
        <v>#VALUE!</v>
      </c>
      <c r="J157" s="160" t="e">
        <f ca="1">IF($G157="Всього:",SUM($J$4:J156),IF(I157-SUM(K157:L157)&lt;0,0,I157-SUM(K157:L157)))</f>
        <v>#VALUE!</v>
      </c>
      <c r="K157" s="160" t="e">
        <f ca="1">IF(G157="Всього:",SUM($K$5:K156),IF(F157&lt;&gt;F156,(F157*O156/36000*(G157-CONCATENATE(DAY($C$4),".",MONTH(G156),".",YEAR(G156)))+(F156*O156/36000*(CONCATENATE(DAY($C$4),".",MONTH(G156),".",YEAR(G156))-G156))),F157*O156/36000*(G157-G156)))</f>
        <v>#VALUE!</v>
      </c>
      <c r="L157" s="160" t="e">
        <f ca="1">IF(G157="Всього:",SUM($L$5:L156),$E$4)</f>
        <v>#VALUE!</v>
      </c>
      <c r="M157" s="160" t="e">
        <f ca="1">IF(G157="Всього:",SUM($M$5:M156),IF($E$5="UAH",J157+L157+K157,J157+K157))</f>
        <v>#VALUE!</v>
      </c>
      <c r="N157" s="160" t="e">
        <f ca="1">IF(G157="Всього:",SUM($N$4:N156),IF($E$5="UAH","",L157))</f>
        <v>#VALUE!</v>
      </c>
      <c r="O157" s="160" t="e">
        <f t="shared" ca="1" si="8"/>
        <v>#VALUE!</v>
      </c>
    </row>
    <row r="158" spans="6:15" x14ac:dyDescent="0.3">
      <c r="F158" s="160" t="e">
        <f t="shared" ca="1" si="9"/>
        <v>#VALUE!</v>
      </c>
      <c r="G158" s="160" t="e">
        <f t="shared" ca="1" si="11"/>
        <v>#VALUE!</v>
      </c>
      <c r="H158" s="160" t="str">
        <f t="shared" ca="1" si="10"/>
        <v/>
      </c>
      <c r="I158" s="160" t="e">
        <f ca="1">IF($G158="Всього:",SUM($I$4:I157),IF(AND(DAY($C$4)&gt;=15,H158=1),K158+L158,$C$32))</f>
        <v>#VALUE!</v>
      </c>
      <c r="J158" s="160" t="e">
        <f ca="1">IF($G158="Всього:",SUM($J$4:J157),IF(I158-SUM(K158:L158)&lt;0,0,I158-SUM(K158:L158)))</f>
        <v>#VALUE!</v>
      </c>
      <c r="K158" s="160" t="e">
        <f ca="1">IF(G158="Всього:",SUM($K$5:K157),IF(F158&lt;&gt;F157,(F158*O157/36000*(G158-CONCATENATE(DAY($C$4),".",MONTH(G157),".",YEAR(G157)))+(F157*O157/36000*(CONCATENATE(DAY($C$4),".",MONTH(G157),".",YEAR(G157))-G157))),F158*O157/36000*(G158-G157)))</f>
        <v>#VALUE!</v>
      </c>
      <c r="L158" s="160" t="e">
        <f ca="1">IF(G158="Всього:",SUM($L$5:L157),$E$4)</f>
        <v>#VALUE!</v>
      </c>
      <c r="M158" s="160" t="e">
        <f ca="1">IF(G158="Всього:",SUM($M$5:M157),IF($E$5="UAH",J158+L158+K158,J158+K158))</f>
        <v>#VALUE!</v>
      </c>
      <c r="N158" s="160" t="e">
        <f ca="1">IF(G158="Всього:",SUM($N$4:N157),IF($E$5="UAH","",L158))</f>
        <v>#VALUE!</v>
      </c>
      <c r="O158" s="160" t="e">
        <f t="shared" ca="1" si="8"/>
        <v>#VALUE!</v>
      </c>
    </row>
    <row r="159" spans="6:15" x14ac:dyDescent="0.3">
      <c r="F159" s="160" t="e">
        <f t="shared" ca="1" si="9"/>
        <v>#VALUE!</v>
      </c>
      <c r="G159" s="160" t="e">
        <f t="shared" ca="1" si="11"/>
        <v>#VALUE!</v>
      </c>
      <c r="H159" s="160" t="str">
        <f t="shared" ca="1" si="10"/>
        <v/>
      </c>
      <c r="I159" s="160" t="e">
        <f ca="1">IF($G159="Всього:",SUM($I$4:I158),IF(AND(DAY($C$4)&gt;=15,H159=1),K159+L159,$C$32))</f>
        <v>#VALUE!</v>
      </c>
      <c r="J159" s="160" t="e">
        <f ca="1">IF($G159="Всього:",SUM($J$4:J158),IF(I159-SUM(K159:L159)&lt;0,0,I159-SUM(K159:L159)))</f>
        <v>#VALUE!</v>
      </c>
      <c r="K159" s="160" t="e">
        <f ca="1">IF(G159="Всього:",SUM($K$5:K158),IF(F159&lt;&gt;F158,(F159*O158/36000*(G159-CONCATENATE(DAY($C$4),".",MONTH(G158),".",YEAR(G158)))+(F158*O158/36000*(CONCATENATE(DAY($C$4),".",MONTH(G158),".",YEAR(G158))-G158))),F159*O158/36000*(G159-G158)))</f>
        <v>#VALUE!</v>
      </c>
      <c r="L159" s="160" t="e">
        <f ca="1">IF(G159="Всього:",SUM($L$5:L158),$E$4)</f>
        <v>#VALUE!</v>
      </c>
      <c r="M159" s="160" t="e">
        <f ca="1">IF(G159="Всього:",SUM($M$5:M158),IF($E$5="UAH",J159+L159+K159,J159+K159))</f>
        <v>#VALUE!</v>
      </c>
      <c r="N159" s="160" t="e">
        <f ca="1">IF(G159="Всього:",SUM($N$4:N158),IF($E$5="UAH","",L159))</f>
        <v>#VALUE!</v>
      </c>
      <c r="O159" s="160" t="e">
        <f t="shared" ca="1" si="8"/>
        <v>#VALUE!</v>
      </c>
    </row>
    <row r="160" spans="6:15" x14ac:dyDescent="0.3">
      <c r="F160" s="160" t="e">
        <f t="shared" ca="1" si="9"/>
        <v>#VALUE!</v>
      </c>
      <c r="G160" s="160" t="e">
        <f t="shared" ca="1" si="11"/>
        <v>#VALUE!</v>
      </c>
      <c r="H160" s="160" t="str">
        <f t="shared" ca="1" si="10"/>
        <v/>
      </c>
      <c r="I160" s="160" t="e">
        <f ca="1">IF($G160="Всього:",SUM($I$4:I159),IF(AND(DAY($C$4)&gt;=15,H160=1),K160+L160,$C$32))</f>
        <v>#VALUE!</v>
      </c>
      <c r="J160" s="160" t="e">
        <f ca="1">IF($G160="Всього:",SUM($J$4:J159),IF(I160-SUM(K160:L160)&lt;0,0,I160-SUM(K160:L160)))</f>
        <v>#VALUE!</v>
      </c>
      <c r="K160" s="160" t="e">
        <f ca="1">IF(G160="Всього:",SUM($K$5:K159),IF(F160&lt;&gt;F159,(F160*O159/36000*(G160-CONCATENATE(DAY($C$4),".",MONTH(G159),".",YEAR(G159)))+(F159*O159/36000*(CONCATENATE(DAY($C$4),".",MONTH(G159),".",YEAR(G159))-G159))),F160*O159/36000*(G160-G159)))</f>
        <v>#VALUE!</v>
      </c>
      <c r="L160" s="160" t="e">
        <f ca="1">IF(G160="Всього:",SUM($L$5:L159),$E$4)</f>
        <v>#VALUE!</v>
      </c>
      <c r="M160" s="160" t="e">
        <f ca="1">IF(G160="Всього:",SUM($M$5:M159),IF($E$5="UAH",J160+L160+K160,J160+K160))</f>
        <v>#VALUE!</v>
      </c>
      <c r="N160" s="160" t="e">
        <f ca="1">IF(G160="Всього:",SUM($N$4:N159),IF($E$5="UAH","",L160))</f>
        <v>#VALUE!</v>
      </c>
      <c r="O160" s="160" t="e">
        <f t="shared" ca="1" si="8"/>
        <v>#VALUE!</v>
      </c>
    </row>
    <row r="161" spans="6:15" x14ac:dyDescent="0.3">
      <c r="F161" s="160" t="e">
        <f t="shared" ca="1" si="9"/>
        <v>#VALUE!</v>
      </c>
      <c r="G161" s="160" t="e">
        <f t="shared" ca="1" si="11"/>
        <v>#VALUE!</v>
      </c>
      <c r="H161" s="160" t="str">
        <f t="shared" ca="1" si="10"/>
        <v/>
      </c>
      <c r="I161" s="160" t="e">
        <f ca="1">IF($G161="Всього:",SUM($I$4:I160),IF(AND(DAY($C$4)&gt;=15,H161=1),K161+L161,$C$32))</f>
        <v>#VALUE!</v>
      </c>
      <c r="J161" s="160" t="e">
        <f ca="1">IF($G161="Всього:",SUM($J$4:J160),IF(I161-SUM(K161:L161)&lt;0,0,I161-SUM(K161:L161)))</f>
        <v>#VALUE!</v>
      </c>
      <c r="K161" s="160" t="e">
        <f ca="1">IF(G161="Всього:",SUM($K$5:K160),IF(F161&lt;&gt;F160,(F161*O160/36000*(G161-CONCATENATE(DAY($C$4),".",MONTH(G160),".",YEAR(G160)))+(F160*O160/36000*(CONCATENATE(DAY($C$4),".",MONTH(G160),".",YEAR(G160))-G160))),F161*O160/36000*(G161-G160)))</f>
        <v>#VALUE!</v>
      </c>
      <c r="L161" s="160" t="e">
        <f ca="1">IF(G161="Всього:",SUM($L$5:L160),$E$4)</f>
        <v>#VALUE!</v>
      </c>
      <c r="M161" s="160" t="e">
        <f ca="1">IF(G161="Всього:",SUM($M$5:M160),IF($E$5="UAH",J161+L161+K161,J161+K161))</f>
        <v>#VALUE!</v>
      </c>
      <c r="N161" s="160" t="e">
        <f ca="1">IF(G161="Всього:",SUM($N$4:N160),IF($E$5="UAH","",L161))</f>
        <v>#VALUE!</v>
      </c>
      <c r="O161" s="160" t="e">
        <f t="shared" ca="1" si="8"/>
        <v>#VALUE!</v>
      </c>
    </row>
    <row r="162" spans="6:15" x14ac:dyDescent="0.3">
      <c r="F162" s="160" t="e">
        <f t="shared" ca="1" si="9"/>
        <v>#VALUE!</v>
      </c>
      <c r="G162" s="160" t="e">
        <f t="shared" ca="1" si="11"/>
        <v>#VALUE!</v>
      </c>
      <c r="H162" s="160" t="str">
        <f t="shared" ca="1" si="10"/>
        <v/>
      </c>
      <c r="I162" s="160" t="e">
        <f ca="1">IF($G162="Всього:",SUM($I$4:I161),IF(AND(DAY($C$4)&gt;=15,H162=1),K162+L162,$C$32))</f>
        <v>#VALUE!</v>
      </c>
      <c r="J162" s="160" t="e">
        <f ca="1">IF($G162="Всього:",SUM($J$4:J161),IF(I162-SUM(K162:L162)&lt;0,0,I162-SUM(K162:L162)))</f>
        <v>#VALUE!</v>
      </c>
      <c r="K162" s="160" t="e">
        <f ca="1">IF(G162="Всього:",SUM($K$5:K161),IF(F162&lt;&gt;F161,(F162*O161/36000*(G162-CONCATENATE(DAY($C$4),".",MONTH(G161),".",YEAR(G161)))+(F161*O161/36000*(CONCATENATE(DAY($C$4),".",MONTH(G161),".",YEAR(G161))-G161))),F162*O161/36000*(G162-G161)))</f>
        <v>#VALUE!</v>
      </c>
      <c r="L162" s="160" t="e">
        <f ca="1">IF(G162="Всього:",SUM($L$5:L161),$E$4)</f>
        <v>#VALUE!</v>
      </c>
      <c r="M162" s="160" t="e">
        <f ca="1">IF(G162="Всього:",SUM($M$5:M161),IF($E$5="UAH",J162+L162+K162,J162+K162))</f>
        <v>#VALUE!</v>
      </c>
      <c r="N162" s="160" t="e">
        <f ca="1">IF(G162="Всього:",SUM($N$4:N161),IF($E$5="UAH","",L162))</f>
        <v>#VALUE!</v>
      </c>
      <c r="O162" s="160" t="e">
        <f t="shared" ca="1" si="8"/>
        <v>#VALUE!</v>
      </c>
    </row>
    <row r="163" spans="6:15" x14ac:dyDescent="0.3">
      <c r="F163" s="160" t="e">
        <f t="shared" ca="1" si="9"/>
        <v>#VALUE!</v>
      </c>
      <c r="G163" s="160" t="e">
        <f t="shared" ca="1" si="11"/>
        <v>#VALUE!</v>
      </c>
      <c r="H163" s="160" t="str">
        <f t="shared" ca="1" si="10"/>
        <v/>
      </c>
      <c r="I163" s="160" t="e">
        <f ca="1">IF($G163="Всього:",SUM($I$4:I162),IF(AND(DAY($C$4)&gt;=15,H163=1),K163+L163,$C$32))</f>
        <v>#VALUE!</v>
      </c>
      <c r="J163" s="160" t="e">
        <f ca="1">IF($G163="Всього:",SUM($J$4:J162),IF(I163-SUM(K163:L163)&lt;0,0,I163-SUM(K163:L163)))</f>
        <v>#VALUE!</v>
      </c>
      <c r="K163" s="160" t="e">
        <f ca="1">IF(G163="Всього:",SUM($K$5:K162),IF(F163&lt;&gt;F162,(F163*O162/36000*(G163-CONCATENATE(DAY($C$4),".",MONTH(G162),".",YEAR(G162)))+(F162*O162/36000*(CONCATENATE(DAY($C$4),".",MONTH(G162),".",YEAR(G162))-G162))),F163*O162/36000*(G163-G162)))</f>
        <v>#VALUE!</v>
      </c>
      <c r="L163" s="160" t="e">
        <f ca="1">IF(G163="Всього:",SUM($L$5:L162),$E$4)</f>
        <v>#VALUE!</v>
      </c>
      <c r="M163" s="160" t="e">
        <f ca="1">IF(G163="Всього:",SUM($M$5:M162),IF($E$5="UAH",J163+L163+K163,J163+K163))</f>
        <v>#VALUE!</v>
      </c>
      <c r="N163" s="160" t="e">
        <f ca="1">IF(G163="Всього:",SUM($N$4:N162),IF($E$5="UAH","",L163))</f>
        <v>#VALUE!</v>
      </c>
      <c r="O163" s="160" t="e">
        <f t="shared" ca="1" si="8"/>
        <v>#VALUE!</v>
      </c>
    </row>
    <row r="164" spans="6:15" x14ac:dyDescent="0.3">
      <c r="F164" s="160" t="e">
        <f t="shared" ca="1" si="9"/>
        <v>#VALUE!</v>
      </c>
      <c r="G164" s="160" t="e">
        <f t="shared" ca="1" si="11"/>
        <v>#VALUE!</v>
      </c>
      <c r="H164" s="160" t="str">
        <f t="shared" ca="1" si="10"/>
        <v/>
      </c>
      <c r="I164" s="160" t="e">
        <f ca="1">IF($G164="Всього:",SUM($I$4:I163),IF(AND(DAY($C$4)&gt;=15,H164=1),K164+L164,$C$32))</f>
        <v>#VALUE!</v>
      </c>
      <c r="J164" s="160" t="e">
        <f ca="1">IF($G164="Всього:",SUM($J$4:J163),IF(I164-SUM(K164:L164)&lt;0,0,I164-SUM(K164:L164)))</f>
        <v>#VALUE!</v>
      </c>
      <c r="K164" s="160" t="e">
        <f ca="1">IF(G164="Всього:",SUM($K$5:K163),IF(F164&lt;&gt;F163,(F164*O163/36000*(G164-CONCATENATE(DAY($C$4),".",MONTH(G163),".",YEAR(G163)))+(F163*O163/36000*(CONCATENATE(DAY($C$4),".",MONTH(G163),".",YEAR(G163))-G163))),F164*O163/36000*(G164-G163)))</f>
        <v>#VALUE!</v>
      </c>
      <c r="L164" s="160" t="e">
        <f ca="1">IF(G164="Всього:",SUM($L$5:L163),$E$4)</f>
        <v>#VALUE!</v>
      </c>
      <c r="M164" s="160" t="e">
        <f ca="1">IF(G164="Всього:",SUM($M$5:M163),IF($E$5="UAH",J164+L164+K164,J164+K164))</f>
        <v>#VALUE!</v>
      </c>
      <c r="N164" s="160" t="e">
        <f ca="1">IF(G164="Всього:",SUM($N$4:N163),IF($E$5="UAH","",L164))</f>
        <v>#VALUE!</v>
      </c>
      <c r="O164" s="160" t="e">
        <f t="shared" ca="1" si="8"/>
        <v>#VALUE!</v>
      </c>
    </row>
    <row r="165" spans="6:15" x14ac:dyDescent="0.3">
      <c r="F165" s="160" t="e">
        <f t="shared" ca="1" si="9"/>
        <v>#VALUE!</v>
      </c>
      <c r="G165" s="160" t="e">
        <f t="shared" ca="1" si="11"/>
        <v>#VALUE!</v>
      </c>
      <c r="H165" s="160" t="str">
        <f t="shared" ca="1" si="10"/>
        <v/>
      </c>
      <c r="I165" s="160" t="e">
        <f ca="1">IF($G165="Всього:",SUM($I$4:I164),IF(AND(DAY($C$4)&gt;=15,H165=1),K165+L165,$C$32))</f>
        <v>#VALUE!</v>
      </c>
      <c r="J165" s="160" t="e">
        <f ca="1">IF($G165="Всього:",SUM($J$4:J164),IF(I165-SUM(K165:L165)&lt;0,0,I165-SUM(K165:L165)))</f>
        <v>#VALUE!</v>
      </c>
      <c r="K165" s="160" t="e">
        <f ca="1">IF(G165="Всього:",SUM($K$5:K164),IF(F165&lt;&gt;F164,(F165*O164/36000*(G165-CONCATENATE(DAY($C$4),".",MONTH(G164),".",YEAR(G164)))+(F164*O164/36000*(CONCATENATE(DAY($C$4),".",MONTH(G164),".",YEAR(G164))-G164))),F165*O164/36000*(G165-G164)))</f>
        <v>#VALUE!</v>
      </c>
      <c r="L165" s="160" t="e">
        <f ca="1">IF(G165="Всього:",SUM($L$5:L164),$E$4)</f>
        <v>#VALUE!</v>
      </c>
      <c r="M165" s="160" t="e">
        <f ca="1">IF(G165="Всього:",SUM($M$5:M164),IF($E$5="UAH",J165+L165+K165,J165+K165))</f>
        <v>#VALUE!</v>
      </c>
      <c r="N165" s="160" t="e">
        <f ca="1">IF(G165="Всього:",SUM($N$4:N164),IF($E$5="UAH","",L165))</f>
        <v>#VALUE!</v>
      </c>
      <c r="O165" s="160" t="e">
        <f t="shared" ca="1" si="8"/>
        <v>#VALUE!</v>
      </c>
    </row>
    <row r="166" spans="6:15" x14ac:dyDescent="0.3">
      <c r="F166" s="160" t="e">
        <f t="shared" ca="1" si="9"/>
        <v>#VALUE!</v>
      </c>
      <c r="G166" s="160" t="e">
        <f t="shared" ca="1" si="11"/>
        <v>#VALUE!</v>
      </c>
      <c r="H166" s="160" t="str">
        <f t="shared" ca="1" si="10"/>
        <v/>
      </c>
      <c r="I166" s="160" t="e">
        <f ca="1">IF($G166="Всього:",SUM($I$4:I165),IF(AND(DAY($C$4)&gt;=15,H166=1),K166+L166,$C$32))</f>
        <v>#VALUE!</v>
      </c>
      <c r="J166" s="160" t="e">
        <f ca="1">IF($G166="Всього:",SUM($J$4:J165),IF(I166-SUM(K166:L166)&lt;0,0,I166-SUM(K166:L166)))</f>
        <v>#VALUE!</v>
      </c>
      <c r="K166" s="160" t="e">
        <f ca="1">IF(G166="Всього:",SUM($K$5:K165),IF(F166&lt;&gt;F165,(F166*O165/36000*(G166-CONCATENATE(DAY($C$4),".",MONTH(G165),".",YEAR(G165)))+(F165*O165/36000*(CONCATENATE(DAY($C$4),".",MONTH(G165),".",YEAR(G165))-G165))),F166*O165/36000*(G166-G165)))</f>
        <v>#VALUE!</v>
      </c>
      <c r="L166" s="160" t="e">
        <f ca="1">IF(G166="Всього:",SUM($L$5:L165),$E$4)</f>
        <v>#VALUE!</v>
      </c>
      <c r="M166" s="160" t="e">
        <f ca="1">IF(G166="Всього:",SUM($M$5:M165),IF($E$5="UAH",J166+L166+K166,J166+K166))</f>
        <v>#VALUE!</v>
      </c>
      <c r="N166" s="160" t="e">
        <f ca="1">IF(G166="Всього:",SUM($N$4:N165),IF($E$5="UAH","",L166))</f>
        <v>#VALUE!</v>
      </c>
      <c r="O166" s="160" t="e">
        <f t="shared" ca="1" si="8"/>
        <v>#VALUE!</v>
      </c>
    </row>
    <row r="167" spans="6:15" x14ac:dyDescent="0.3">
      <c r="F167" s="160" t="e">
        <f t="shared" ca="1" si="9"/>
        <v>#VALUE!</v>
      </c>
      <c r="G167" s="160" t="e">
        <f t="shared" ca="1" si="11"/>
        <v>#VALUE!</v>
      </c>
      <c r="H167" s="160" t="str">
        <f t="shared" ca="1" si="10"/>
        <v/>
      </c>
      <c r="I167" s="160" t="e">
        <f ca="1">IF($G167="Всього:",SUM($I$4:I166),IF(AND(DAY($C$4)&gt;=15,H167=1),K167+L167,$C$32))</f>
        <v>#VALUE!</v>
      </c>
      <c r="J167" s="160" t="e">
        <f ca="1">IF($G167="Всього:",SUM($J$4:J166),IF(I167-SUM(K167:L167)&lt;0,0,I167-SUM(K167:L167)))</f>
        <v>#VALUE!</v>
      </c>
      <c r="K167" s="160" t="e">
        <f ca="1">IF(G167="Всього:",SUM($K$5:K166),IF(F167&lt;&gt;F166,(F167*O166/36000*(G167-CONCATENATE(DAY($C$4),".",MONTH(G166),".",YEAR(G166)))+(F166*O166/36000*(CONCATENATE(DAY($C$4),".",MONTH(G166),".",YEAR(G166))-G166))),F167*O166/36000*(G167-G166)))</f>
        <v>#VALUE!</v>
      </c>
      <c r="L167" s="160" t="e">
        <f ca="1">IF(G167="Всього:",SUM($L$5:L166),$E$4)</f>
        <v>#VALUE!</v>
      </c>
      <c r="M167" s="160" t="e">
        <f ca="1">IF(G167="Всього:",SUM($M$5:M166),IF($E$5="UAH",J167+L167+K167,J167+K167))</f>
        <v>#VALUE!</v>
      </c>
      <c r="N167" s="160" t="e">
        <f ca="1">IF(G167="Всього:",SUM($N$4:N166),IF($E$5="UAH","",L167))</f>
        <v>#VALUE!</v>
      </c>
      <c r="O167" s="160" t="e">
        <f t="shared" ca="1" si="8"/>
        <v>#VALUE!</v>
      </c>
    </row>
    <row r="168" spans="6:15" x14ac:dyDescent="0.3">
      <c r="F168" s="160" t="e">
        <f t="shared" ca="1" si="9"/>
        <v>#VALUE!</v>
      </c>
      <c r="G168" s="160" t="e">
        <f t="shared" ca="1" si="11"/>
        <v>#VALUE!</v>
      </c>
      <c r="H168" s="160" t="str">
        <f t="shared" ca="1" si="10"/>
        <v/>
      </c>
      <c r="I168" s="160" t="e">
        <f ca="1">IF($G168="Всього:",SUM($I$4:I167),IF(AND(DAY($C$4)&gt;=15,H168=1),K168+L168,$C$32))</f>
        <v>#VALUE!</v>
      </c>
      <c r="J168" s="160" t="e">
        <f ca="1">IF($G168="Всього:",SUM($J$4:J167),IF(I168-SUM(K168:L168)&lt;0,0,I168-SUM(K168:L168)))</f>
        <v>#VALUE!</v>
      </c>
      <c r="K168" s="160" t="e">
        <f ca="1">IF(G168="Всього:",SUM($K$5:K167),IF(F168&lt;&gt;F167,(F168*O167/36000*(G168-CONCATENATE(DAY($C$4),".",MONTH(G167),".",YEAR(G167)))+(F167*O167/36000*(CONCATENATE(DAY($C$4),".",MONTH(G167),".",YEAR(G167))-G167))),F168*O167/36000*(G168-G167)))</f>
        <v>#VALUE!</v>
      </c>
      <c r="L168" s="160" t="e">
        <f ca="1">IF(G168="Всього:",SUM($L$5:L167),$E$4)</f>
        <v>#VALUE!</v>
      </c>
      <c r="M168" s="160" t="e">
        <f ca="1">IF(G168="Всього:",SUM($M$5:M167),IF($E$5="UAH",J168+L168+K168,J168+K168))</f>
        <v>#VALUE!</v>
      </c>
      <c r="N168" s="160" t="e">
        <f ca="1">IF(G168="Всього:",SUM($N$4:N167),IF($E$5="UAH","",L168))</f>
        <v>#VALUE!</v>
      </c>
      <c r="O168" s="160" t="e">
        <f t="shared" ca="1" si="8"/>
        <v>#VALUE!</v>
      </c>
    </row>
    <row r="169" spans="6:15" x14ac:dyDescent="0.3">
      <c r="F169" s="160" t="e">
        <f t="shared" ca="1" si="9"/>
        <v>#VALUE!</v>
      </c>
      <c r="G169" s="160" t="e">
        <f t="shared" ca="1" si="11"/>
        <v>#VALUE!</v>
      </c>
      <c r="H169" s="160" t="str">
        <f t="shared" ca="1" si="10"/>
        <v/>
      </c>
      <c r="I169" s="160" t="e">
        <f ca="1">IF($G169="Всього:",SUM($I$4:I168),IF(AND(DAY($C$4)&gt;=15,H169=1),K169+L169,$C$32))</f>
        <v>#VALUE!</v>
      </c>
      <c r="J169" s="160" t="e">
        <f ca="1">IF($G169="Всього:",SUM($J$4:J168),IF(I169-SUM(K169:L169)&lt;0,0,I169-SUM(K169:L169)))</f>
        <v>#VALUE!</v>
      </c>
      <c r="K169" s="160" t="e">
        <f ca="1">IF(G169="Всього:",SUM($K$5:K168),IF(F169&lt;&gt;F168,(F169*O168/36000*(G169-CONCATENATE(DAY($C$4),".",MONTH(G168),".",YEAR(G168)))+(F168*O168/36000*(CONCATENATE(DAY($C$4),".",MONTH(G168),".",YEAR(G168))-G168))),F169*O168/36000*(G169-G168)))</f>
        <v>#VALUE!</v>
      </c>
      <c r="L169" s="160" t="e">
        <f ca="1">IF(G169="Всього:",SUM($L$5:L168),$E$4)</f>
        <v>#VALUE!</v>
      </c>
      <c r="M169" s="160" t="e">
        <f ca="1">IF(G169="Всього:",SUM($M$5:M168),IF($E$5="UAH",J169+L169+K169,J169+K169))</f>
        <v>#VALUE!</v>
      </c>
      <c r="N169" s="160" t="e">
        <f ca="1">IF(G169="Всього:",SUM($N$4:N168),IF($E$5="UAH","",L169))</f>
        <v>#VALUE!</v>
      </c>
      <c r="O169" s="160" t="e">
        <f t="shared" ca="1" si="8"/>
        <v>#VALUE!</v>
      </c>
    </row>
    <row r="170" spans="6:15" x14ac:dyDescent="0.3">
      <c r="F170" s="160" t="e">
        <f t="shared" ca="1" si="9"/>
        <v>#VALUE!</v>
      </c>
      <c r="G170" s="160" t="e">
        <f t="shared" ca="1" si="11"/>
        <v>#VALUE!</v>
      </c>
      <c r="H170" s="160" t="str">
        <f t="shared" ca="1" si="10"/>
        <v/>
      </c>
      <c r="I170" s="160" t="e">
        <f ca="1">IF($G170="Всього:",SUM($I$4:I169),IF(AND(DAY($C$4)&gt;=15,H170=1),K170+L170,$C$32))</f>
        <v>#VALUE!</v>
      </c>
      <c r="J170" s="160" t="e">
        <f ca="1">IF($G170="Всього:",SUM($J$4:J169),IF(I170-SUM(K170:L170)&lt;0,0,I170-SUM(K170:L170)))</f>
        <v>#VALUE!</v>
      </c>
      <c r="K170" s="160" t="e">
        <f ca="1">IF(G170="Всього:",SUM($K$5:K169),IF(F170&lt;&gt;F169,(F170*O169/36000*(G170-CONCATENATE(DAY($C$4),".",MONTH(G169),".",YEAR(G169)))+(F169*O169/36000*(CONCATENATE(DAY($C$4),".",MONTH(G169),".",YEAR(G169))-G169))),F170*O169/36000*(G170-G169)))</f>
        <v>#VALUE!</v>
      </c>
      <c r="L170" s="160" t="e">
        <f ca="1">IF(G170="Всього:",SUM($L$5:L169),$E$4)</f>
        <v>#VALUE!</v>
      </c>
      <c r="M170" s="160" t="e">
        <f ca="1">IF(G170="Всього:",SUM($M$5:M169),IF($E$5="UAH",J170+L170+K170,J170+K170))</f>
        <v>#VALUE!</v>
      </c>
      <c r="N170" s="160" t="e">
        <f ca="1">IF(G170="Всього:",SUM($N$4:N169),IF($E$5="UAH","",L170))</f>
        <v>#VALUE!</v>
      </c>
      <c r="O170" s="160" t="e">
        <f t="shared" ca="1" si="8"/>
        <v>#VALUE!</v>
      </c>
    </row>
    <row r="171" spans="6:15" x14ac:dyDescent="0.3">
      <c r="F171" s="160" t="e">
        <f t="shared" ca="1" si="9"/>
        <v>#VALUE!</v>
      </c>
      <c r="G171" s="160" t="e">
        <f t="shared" ca="1" si="11"/>
        <v>#VALUE!</v>
      </c>
      <c r="H171" s="160" t="str">
        <f t="shared" ca="1" si="10"/>
        <v/>
      </c>
      <c r="I171" s="160" t="e">
        <f ca="1">IF($G171="Всього:",SUM($I$4:I170),IF(AND(DAY($C$4)&gt;=15,H171=1),K171+L171,$C$32))</f>
        <v>#VALUE!</v>
      </c>
      <c r="J171" s="160" t="e">
        <f ca="1">IF($G171="Всього:",SUM($J$4:J170),IF(I171-SUM(K171:L171)&lt;0,0,I171-SUM(K171:L171)))</f>
        <v>#VALUE!</v>
      </c>
      <c r="K171" s="160" t="e">
        <f ca="1">IF(G171="Всього:",SUM($K$5:K170),IF(F171&lt;&gt;F170,(F171*O170/36000*(G171-CONCATENATE(DAY($C$4),".",MONTH(G170),".",YEAR(G170)))+(F170*O170/36000*(CONCATENATE(DAY($C$4),".",MONTH(G170),".",YEAR(G170))-G170))),F171*O170/36000*(G171-G170)))</f>
        <v>#VALUE!</v>
      </c>
      <c r="L171" s="160" t="e">
        <f ca="1">IF(G171="Всього:",SUM($L$5:L170),$E$4)</f>
        <v>#VALUE!</v>
      </c>
      <c r="M171" s="160" t="e">
        <f ca="1">IF(G171="Всього:",SUM($M$5:M170),IF($E$5="UAH",J171+L171+K171,J171+K171))</f>
        <v>#VALUE!</v>
      </c>
      <c r="N171" s="160" t="e">
        <f ca="1">IF(G171="Всього:",SUM($N$4:N170),IF($E$5="UAH","",L171))</f>
        <v>#VALUE!</v>
      </c>
      <c r="O171" s="160" t="e">
        <f t="shared" ca="1" si="8"/>
        <v>#VALUE!</v>
      </c>
    </row>
    <row r="172" spans="6:15" x14ac:dyDescent="0.3">
      <c r="F172" s="160" t="e">
        <f t="shared" ca="1" si="9"/>
        <v>#VALUE!</v>
      </c>
      <c r="G172" s="160" t="e">
        <f t="shared" ca="1" si="11"/>
        <v>#VALUE!</v>
      </c>
      <c r="H172" s="160" t="str">
        <f t="shared" ca="1" si="10"/>
        <v/>
      </c>
      <c r="I172" s="160" t="e">
        <f ca="1">IF($G172="Всього:",SUM($I$4:I171),IF(AND(DAY($C$4)&gt;=15,H172=1),K172+L172,$C$32))</f>
        <v>#VALUE!</v>
      </c>
      <c r="J172" s="160" t="e">
        <f ca="1">IF($G172="Всього:",SUM($J$4:J171),IF(I172-SUM(K172:L172)&lt;0,0,I172-SUM(K172:L172)))</f>
        <v>#VALUE!</v>
      </c>
      <c r="K172" s="160" t="e">
        <f ca="1">IF(G172="Всього:",SUM($K$5:K171),IF(F172&lt;&gt;F171,(F172*O171/36000*(G172-CONCATENATE(DAY($C$4),".",MONTH(G171),".",YEAR(G171)))+(F171*O171/36000*(CONCATENATE(DAY($C$4),".",MONTH(G171),".",YEAR(G171))-G171))),F172*O171/36000*(G172-G171)))</f>
        <v>#VALUE!</v>
      </c>
      <c r="L172" s="160" t="e">
        <f ca="1">IF(G172="Всього:",SUM($L$5:L171),$E$4)</f>
        <v>#VALUE!</v>
      </c>
      <c r="M172" s="160" t="e">
        <f ca="1">IF(G172="Всього:",SUM($M$5:M171),IF($E$5="UAH",J172+L172+K172,J172+K172))</f>
        <v>#VALUE!</v>
      </c>
      <c r="N172" s="160" t="e">
        <f ca="1">IF(G172="Всього:",SUM($N$4:N171),IF($E$5="UAH","",L172))</f>
        <v>#VALUE!</v>
      </c>
      <c r="O172" s="160" t="e">
        <f t="shared" ca="1" si="8"/>
        <v>#VALUE!</v>
      </c>
    </row>
    <row r="173" spans="6:15" x14ac:dyDescent="0.3">
      <c r="F173" s="160" t="e">
        <f t="shared" ca="1" si="9"/>
        <v>#VALUE!</v>
      </c>
      <c r="G173" s="160" t="e">
        <f t="shared" ca="1" si="11"/>
        <v>#VALUE!</v>
      </c>
      <c r="H173" s="160" t="str">
        <f t="shared" ca="1" si="10"/>
        <v/>
      </c>
      <c r="I173" s="160" t="e">
        <f ca="1">IF($G173="Всього:",SUM($I$4:I172),IF(AND(DAY($C$4)&gt;=15,H173=1),K173+L173,$C$32))</f>
        <v>#VALUE!</v>
      </c>
      <c r="J173" s="160" t="e">
        <f ca="1">IF($G173="Всього:",SUM($J$4:J172),IF(I173-SUM(K173:L173)&lt;0,0,I173-SUM(K173:L173)))</f>
        <v>#VALUE!</v>
      </c>
      <c r="K173" s="160" t="e">
        <f ca="1">IF(G173="Всього:",SUM($K$5:K172),IF(F173&lt;&gt;F172,(F173*O172/36000*(G173-CONCATENATE(DAY($C$4),".",MONTH(G172),".",YEAR(G172)))+(F172*O172/36000*(CONCATENATE(DAY($C$4),".",MONTH(G172),".",YEAR(G172))-G172))),F173*O172/36000*(G173-G172)))</f>
        <v>#VALUE!</v>
      </c>
      <c r="L173" s="160" t="e">
        <f ca="1">IF(G173="Всього:",SUM($L$5:L172),$E$4)</f>
        <v>#VALUE!</v>
      </c>
      <c r="M173" s="160" t="e">
        <f ca="1">IF(G173="Всього:",SUM($M$5:M172),IF($E$5="UAH",J173+L173+K173,J173+K173))</f>
        <v>#VALUE!</v>
      </c>
      <c r="N173" s="160" t="e">
        <f ca="1">IF(G173="Всього:",SUM($N$4:N172),IF($E$5="UAH","",L173))</f>
        <v>#VALUE!</v>
      </c>
      <c r="O173" s="160" t="e">
        <f t="shared" ca="1" si="8"/>
        <v>#VALUE!</v>
      </c>
    </row>
    <row r="174" spans="6:15" x14ac:dyDescent="0.3">
      <c r="F174" s="160" t="e">
        <f t="shared" ca="1" si="9"/>
        <v>#VALUE!</v>
      </c>
      <c r="G174" s="160" t="e">
        <f t="shared" ca="1" si="11"/>
        <v>#VALUE!</v>
      </c>
      <c r="H174" s="160" t="str">
        <f t="shared" ca="1" si="10"/>
        <v/>
      </c>
      <c r="I174" s="160" t="e">
        <f ca="1">IF($G174="Всього:",SUM($I$4:I173),IF(AND(DAY($C$4)&gt;=15,H174=1),K174+L174,$C$32))</f>
        <v>#VALUE!</v>
      </c>
      <c r="J174" s="160" t="e">
        <f ca="1">IF($G174="Всього:",SUM($J$4:J173),IF(I174-SUM(K174:L174)&lt;0,0,I174-SUM(K174:L174)))</f>
        <v>#VALUE!</v>
      </c>
      <c r="K174" s="160" t="e">
        <f ca="1">IF(G174="Всього:",SUM($K$5:K173),IF(F174&lt;&gt;F173,(F174*O173/36000*(G174-CONCATENATE(DAY($C$4),".",MONTH(G173),".",YEAR(G173)))+(F173*O173/36000*(CONCATENATE(DAY($C$4),".",MONTH(G173),".",YEAR(G173))-G173))),F174*O173/36000*(G174-G173)))</f>
        <v>#VALUE!</v>
      </c>
      <c r="L174" s="160" t="e">
        <f ca="1">IF(G174="Всього:",SUM($L$5:L173),$E$4)</f>
        <v>#VALUE!</v>
      </c>
      <c r="M174" s="160" t="e">
        <f ca="1">IF(G174="Всього:",SUM($M$5:M173),IF($E$5="UAH",J174+L174+K174,J174+K174))</f>
        <v>#VALUE!</v>
      </c>
      <c r="N174" s="160" t="e">
        <f ca="1">IF(G174="Всього:",SUM($N$4:N173),IF($E$5="UAH","",L174))</f>
        <v>#VALUE!</v>
      </c>
      <c r="O174" s="160" t="e">
        <f t="shared" ca="1" si="8"/>
        <v>#VALUE!</v>
      </c>
    </row>
    <row r="175" spans="6:15" x14ac:dyDescent="0.3">
      <c r="F175" s="160" t="e">
        <f t="shared" ca="1" si="9"/>
        <v>#VALUE!</v>
      </c>
      <c r="G175" s="160" t="e">
        <f t="shared" ca="1" si="11"/>
        <v>#VALUE!</v>
      </c>
      <c r="H175" s="160" t="str">
        <f t="shared" ca="1" si="10"/>
        <v/>
      </c>
      <c r="I175" s="160" t="e">
        <f ca="1">IF($G175="Всього:",SUM($I$4:I174),IF(AND(DAY($C$4)&gt;=15,H175=1),K175+L175,$C$32))</f>
        <v>#VALUE!</v>
      </c>
      <c r="J175" s="160" t="e">
        <f ca="1">IF($G175="Всього:",SUM($J$4:J174),IF(I175-SUM(K175:L175)&lt;0,0,I175-SUM(K175:L175)))</f>
        <v>#VALUE!</v>
      </c>
      <c r="K175" s="160" t="e">
        <f ca="1">IF(G175="Всього:",SUM($K$5:K174),IF(F175&lt;&gt;F174,(F175*O174/36000*(G175-CONCATENATE(DAY($C$4),".",MONTH(G174),".",YEAR(G174)))+(F174*O174/36000*(CONCATENATE(DAY($C$4),".",MONTH(G174),".",YEAR(G174))-G174))),F175*O174/36000*(G175-G174)))</f>
        <v>#VALUE!</v>
      </c>
      <c r="L175" s="160" t="e">
        <f ca="1">IF(G175="Всього:",SUM($L$5:L174),$E$4)</f>
        <v>#VALUE!</v>
      </c>
      <c r="M175" s="160" t="e">
        <f ca="1">IF(G175="Всього:",SUM($M$5:M174),IF($E$5="UAH",J175+L175+K175,J175+K175))</f>
        <v>#VALUE!</v>
      </c>
      <c r="N175" s="160" t="e">
        <f ca="1">IF(G175="Всього:",SUM($N$4:N174),IF($E$5="UAH","",L175))</f>
        <v>#VALUE!</v>
      </c>
      <c r="O175" s="160" t="e">
        <f t="shared" ca="1" si="8"/>
        <v>#VALUE!</v>
      </c>
    </row>
    <row r="176" spans="6:15" x14ac:dyDescent="0.3">
      <c r="F176" s="160" t="e">
        <f t="shared" ca="1" si="9"/>
        <v>#VALUE!</v>
      </c>
      <c r="G176" s="160" t="e">
        <f t="shared" ca="1" si="11"/>
        <v>#VALUE!</v>
      </c>
      <c r="H176" s="160" t="str">
        <f t="shared" ca="1" si="10"/>
        <v/>
      </c>
      <c r="I176" s="160" t="e">
        <f ca="1">IF($G176="Всього:",SUM($I$4:I175),IF(AND(DAY($C$4)&gt;=15,H176=1),K176+L176,$C$32))</f>
        <v>#VALUE!</v>
      </c>
      <c r="J176" s="160" t="e">
        <f ca="1">IF($G176="Всього:",SUM($J$4:J175),IF(I176-SUM(K176:L176)&lt;0,0,I176-SUM(K176:L176)))</f>
        <v>#VALUE!</v>
      </c>
      <c r="K176" s="160" t="e">
        <f ca="1">IF(G176="Всього:",SUM($K$5:K175),IF(F176&lt;&gt;F175,(F176*O175/36000*(G176-CONCATENATE(DAY($C$4),".",MONTH(G175),".",YEAR(G175)))+(F175*O175/36000*(CONCATENATE(DAY($C$4),".",MONTH(G175),".",YEAR(G175))-G175))),F176*O175/36000*(G176-G175)))</f>
        <v>#VALUE!</v>
      </c>
      <c r="L176" s="160" t="e">
        <f ca="1">IF(G176="Всього:",SUM($L$5:L175),$E$4)</f>
        <v>#VALUE!</v>
      </c>
      <c r="M176" s="160" t="e">
        <f ca="1">IF(G176="Всього:",SUM($M$5:M175),IF($E$5="UAH",J176+L176+K176,J176+K176))</f>
        <v>#VALUE!</v>
      </c>
      <c r="N176" s="160" t="e">
        <f ca="1">IF(G176="Всього:",SUM($N$4:N175),IF($E$5="UAH","",L176))</f>
        <v>#VALUE!</v>
      </c>
      <c r="O176" s="160" t="e">
        <f t="shared" ca="1" si="8"/>
        <v>#VALUE!</v>
      </c>
    </row>
    <row r="177" spans="6:15" x14ac:dyDescent="0.3">
      <c r="F177" s="160" t="e">
        <f t="shared" ca="1" si="9"/>
        <v>#VALUE!</v>
      </c>
      <c r="G177" s="160" t="e">
        <f t="shared" ca="1" si="11"/>
        <v>#VALUE!</v>
      </c>
      <c r="H177" s="160" t="str">
        <f t="shared" ca="1" si="10"/>
        <v/>
      </c>
      <c r="I177" s="160" t="e">
        <f ca="1">IF($G177="Всього:",SUM($I$4:I176),IF(AND(DAY($C$4)&gt;=15,H177=1),K177+L177,$C$32))</f>
        <v>#VALUE!</v>
      </c>
      <c r="J177" s="160" t="e">
        <f ca="1">IF($G177="Всього:",SUM($J$4:J176),IF(I177-SUM(K177:L177)&lt;0,0,I177-SUM(K177:L177)))</f>
        <v>#VALUE!</v>
      </c>
      <c r="K177" s="160" t="e">
        <f ca="1">IF(G177="Всього:",SUM($K$5:K176),IF(F177&lt;&gt;F176,(F177*O176/36000*(G177-CONCATENATE(DAY($C$4),".",MONTH(G176),".",YEAR(G176)))+(F176*O176/36000*(CONCATENATE(DAY($C$4),".",MONTH(G176),".",YEAR(G176))-G176))),F177*O176/36000*(G177-G176)))</f>
        <v>#VALUE!</v>
      </c>
      <c r="L177" s="160" t="e">
        <f ca="1">IF(G177="Всього:",SUM($L$5:L176),$E$4)</f>
        <v>#VALUE!</v>
      </c>
      <c r="M177" s="160" t="e">
        <f ca="1">IF(G177="Всього:",SUM($M$5:M176),IF($E$5="UAH",J177+L177+K177,J177+K177))</f>
        <v>#VALUE!</v>
      </c>
      <c r="N177" s="160" t="e">
        <f ca="1">IF(G177="Всього:",SUM($N$4:N176),IF($E$5="UAH","",L177))</f>
        <v>#VALUE!</v>
      </c>
      <c r="O177" s="160" t="e">
        <f t="shared" ca="1" si="8"/>
        <v>#VALUE!</v>
      </c>
    </row>
    <row r="178" spans="6:15" x14ac:dyDescent="0.3">
      <c r="F178" s="160" t="e">
        <f t="shared" ca="1" si="9"/>
        <v>#VALUE!</v>
      </c>
      <c r="G178" s="160" t="e">
        <f t="shared" ca="1" si="11"/>
        <v>#VALUE!</v>
      </c>
      <c r="H178" s="160" t="str">
        <f t="shared" ca="1" si="10"/>
        <v/>
      </c>
      <c r="I178" s="160" t="e">
        <f ca="1">IF($G178="Всього:",SUM($I$4:I177),IF(AND(DAY($C$4)&gt;=15,H178=1),K178+L178,$C$32))</f>
        <v>#VALUE!</v>
      </c>
      <c r="J178" s="160" t="e">
        <f ca="1">IF($G178="Всього:",SUM($J$4:J177),IF(I178-SUM(K178:L178)&lt;0,0,I178-SUM(K178:L178)))</f>
        <v>#VALUE!</v>
      </c>
      <c r="K178" s="160" t="e">
        <f ca="1">IF(G178="Всього:",SUM($K$5:K177),IF(F178&lt;&gt;F177,(F178*O177/36000*(G178-CONCATENATE(DAY($C$4),".",MONTH(G177),".",YEAR(G177)))+(F177*O177/36000*(CONCATENATE(DAY($C$4),".",MONTH(G177),".",YEAR(G177))-G177))),F178*O177/36000*(G178-G177)))</f>
        <v>#VALUE!</v>
      </c>
      <c r="L178" s="160" t="e">
        <f ca="1">IF(G178="Всього:",SUM($L$5:L177),$E$4)</f>
        <v>#VALUE!</v>
      </c>
      <c r="M178" s="160" t="e">
        <f ca="1">IF(G178="Всього:",SUM($M$5:M177),IF($E$5="UAH",J178+L178+K178,J178+K178))</f>
        <v>#VALUE!</v>
      </c>
      <c r="N178" s="160" t="e">
        <f ca="1">IF(G178="Всього:",SUM($N$4:N177),IF($E$5="UAH","",L178))</f>
        <v>#VALUE!</v>
      </c>
      <c r="O178" s="160" t="e">
        <f t="shared" ca="1" si="8"/>
        <v>#VALUE!</v>
      </c>
    </row>
    <row r="179" spans="6:15" x14ac:dyDescent="0.3">
      <c r="F179" s="160" t="e">
        <f t="shared" ca="1" si="9"/>
        <v>#VALUE!</v>
      </c>
      <c r="G179" s="160" t="e">
        <f t="shared" ca="1" si="11"/>
        <v>#VALUE!</v>
      </c>
      <c r="H179" s="160" t="str">
        <f t="shared" ca="1" si="10"/>
        <v/>
      </c>
      <c r="I179" s="160" t="e">
        <f ca="1">IF($G179="Всього:",SUM($I$4:I178),IF(AND(DAY($C$4)&gt;=15,H179=1),K179+L179,$C$32))</f>
        <v>#VALUE!</v>
      </c>
      <c r="J179" s="160" t="e">
        <f ca="1">IF($G179="Всього:",SUM($J$4:J178),IF(I179-SUM(K179:L179)&lt;0,0,I179-SUM(K179:L179)))</f>
        <v>#VALUE!</v>
      </c>
      <c r="K179" s="160" t="e">
        <f ca="1">IF(G179="Всього:",SUM($K$5:K178),IF(F179&lt;&gt;F178,(F179*O178/36000*(G179-CONCATENATE(DAY($C$4),".",MONTH(G178),".",YEAR(G178)))+(F178*O178/36000*(CONCATENATE(DAY($C$4),".",MONTH(G178),".",YEAR(G178))-G178))),F179*O178/36000*(G179-G178)))</f>
        <v>#VALUE!</v>
      </c>
      <c r="L179" s="160" t="e">
        <f ca="1">IF(G179="Всього:",SUM($L$5:L178),$E$4)</f>
        <v>#VALUE!</v>
      </c>
      <c r="M179" s="160" t="e">
        <f ca="1">IF(G179="Всього:",SUM($M$5:M178),IF($E$5="UAH",J179+L179+K179,J179+K179))</f>
        <v>#VALUE!</v>
      </c>
      <c r="N179" s="160" t="e">
        <f ca="1">IF(G179="Всього:",SUM($N$4:N178),IF($E$5="UAH","",L179))</f>
        <v>#VALUE!</v>
      </c>
      <c r="O179" s="160" t="e">
        <f t="shared" ca="1" si="8"/>
        <v>#VALUE!</v>
      </c>
    </row>
    <row r="180" spans="6:15" x14ac:dyDescent="0.3">
      <c r="F180" s="160" t="e">
        <f t="shared" ca="1" si="9"/>
        <v>#VALUE!</v>
      </c>
      <c r="G180" s="160" t="e">
        <f t="shared" ca="1" si="11"/>
        <v>#VALUE!</v>
      </c>
      <c r="H180" s="160" t="str">
        <f t="shared" ca="1" si="10"/>
        <v/>
      </c>
      <c r="I180" s="160" t="e">
        <f ca="1">IF($G180="Всього:",SUM($I$4:I179),IF(AND(DAY($C$4)&gt;=15,H180=1),K180+L180,$C$32))</f>
        <v>#VALUE!</v>
      </c>
      <c r="J180" s="160" t="e">
        <f ca="1">IF($G180="Всього:",SUM($J$4:J179),IF(I180-SUM(K180:L180)&lt;0,0,I180-SUM(K180:L180)))</f>
        <v>#VALUE!</v>
      </c>
      <c r="K180" s="160" t="e">
        <f ca="1">IF(G180="Всього:",SUM($K$5:K179),IF(F180&lt;&gt;F179,(F180*O179/36000*(G180-CONCATENATE(DAY($C$4),".",MONTH(G179),".",YEAR(G179)))+(F179*O179/36000*(CONCATENATE(DAY($C$4),".",MONTH(G179),".",YEAR(G179))-G179))),F180*O179/36000*(G180-G179)))</f>
        <v>#VALUE!</v>
      </c>
      <c r="L180" s="160" t="e">
        <f ca="1">IF(G180="Всього:",SUM($L$5:L179),$E$4)</f>
        <v>#VALUE!</v>
      </c>
      <c r="M180" s="160" t="e">
        <f ca="1">IF(G180="Всього:",SUM($M$5:M179),IF($E$5="UAH",J180+L180+K180,J180+K180))</f>
        <v>#VALUE!</v>
      </c>
      <c r="N180" s="160" t="e">
        <f ca="1">IF(G180="Всього:",SUM($N$4:N179),IF($E$5="UAH","",L180))</f>
        <v>#VALUE!</v>
      </c>
      <c r="O180" s="160" t="e">
        <f t="shared" ca="1" si="8"/>
        <v>#VALUE!</v>
      </c>
    </row>
    <row r="181" spans="6:15" x14ac:dyDescent="0.3">
      <c r="F181" s="160" t="e">
        <f t="shared" ca="1" si="9"/>
        <v>#VALUE!</v>
      </c>
      <c r="G181" s="160" t="e">
        <f t="shared" ca="1" si="11"/>
        <v>#VALUE!</v>
      </c>
      <c r="H181" s="160" t="str">
        <f t="shared" ca="1" si="10"/>
        <v/>
      </c>
      <c r="I181" s="160" t="e">
        <f ca="1">IF($G181="Всього:",SUM($I$4:I180),IF(AND(DAY($C$4)&gt;=15,H181=1),K181+L181,$C$32))</f>
        <v>#VALUE!</v>
      </c>
      <c r="J181" s="160" t="e">
        <f ca="1">IF($G181="Всього:",SUM($J$4:J180),IF(I181-SUM(K181:L181)&lt;0,0,I181-SUM(K181:L181)))</f>
        <v>#VALUE!</v>
      </c>
      <c r="K181" s="160" t="e">
        <f ca="1">IF(G181="Всього:",SUM($K$5:K180),IF(F181&lt;&gt;F180,(F181*O180/36000*(G181-CONCATENATE(DAY($C$4),".",MONTH(G180),".",YEAR(G180)))+(F180*O180/36000*(CONCATENATE(DAY($C$4),".",MONTH(G180),".",YEAR(G180))-G180))),F181*O180/36000*(G181-G180)))</f>
        <v>#VALUE!</v>
      </c>
      <c r="L181" s="160" t="e">
        <f ca="1">IF(G181="Всього:",SUM($L$5:L180),$E$4)</f>
        <v>#VALUE!</v>
      </c>
      <c r="M181" s="160" t="e">
        <f ca="1">IF(G181="Всього:",SUM($M$5:M180),IF($E$5="UAH",J181+L181+K181,J181+K181))</f>
        <v>#VALUE!</v>
      </c>
      <c r="N181" s="160" t="e">
        <f ca="1">IF(G181="Всього:",SUM($N$4:N180),IF($E$5="UAH","",L181))</f>
        <v>#VALUE!</v>
      </c>
      <c r="O181" s="160" t="e">
        <f t="shared" ca="1" si="8"/>
        <v>#VALUE!</v>
      </c>
    </row>
    <row r="182" spans="6:15" x14ac:dyDescent="0.3">
      <c r="F182" s="160" t="e">
        <f t="shared" ca="1" si="9"/>
        <v>#VALUE!</v>
      </c>
      <c r="G182" s="160" t="e">
        <f t="shared" ca="1" si="11"/>
        <v>#VALUE!</v>
      </c>
      <c r="H182" s="160" t="str">
        <f t="shared" ca="1" si="10"/>
        <v/>
      </c>
      <c r="I182" s="160" t="e">
        <f ca="1">IF($G182="Всього:",SUM($I$4:I181),IF(AND(DAY($C$4)&gt;=15,H182=1),K182+L182,$C$32))</f>
        <v>#VALUE!</v>
      </c>
      <c r="J182" s="160" t="e">
        <f ca="1">IF($G182="Всього:",SUM($J$4:J181),IF(I182-SUM(K182:L182)&lt;0,0,I182-SUM(K182:L182)))</f>
        <v>#VALUE!</v>
      </c>
      <c r="K182" s="160" t="e">
        <f ca="1">IF(G182="Всього:",SUM($K$5:K181),IF(F182&lt;&gt;F181,(F182*O181/36000*(G182-CONCATENATE(DAY($C$4),".",MONTH(G181),".",YEAR(G181)))+(F181*O181/36000*(CONCATENATE(DAY($C$4),".",MONTH(G181),".",YEAR(G181))-G181))),F182*O181/36000*(G182-G181)))</f>
        <v>#VALUE!</v>
      </c>
      <c r="L182" s="160" t="e">
        <f ca="1">IF(G182="Всього:",SUM($L$5:L181),$E$4)</f>
        <v>#VALUE!</v>
      </c>
      <c r="M182" s="160" t="e">
        <f ca="1">IF(G182="Всього:",SUM($M$5:M181),IF($E$5="UAH",J182+L182+K182,J182+K182))</f>
        <v>#VALUE!</v>
      </c>
      <c r="N182" s="160" t="e">
        <f ca="1">IF(G182="Всього:",SUM($N$4:N181),IF($E$5="UAH","",L182))</f>
        <v>#VALUE!</v>
      </c>
      <c r="O182" s="160" t="e">
        <f t="shared" ca="1" si="8"/>
        <v>#VALUE!</v>
      </c>
    </row>
    <row r="183" spans="6:15" x14ac:dyDescent="0.3">
      <c r="F183" s="160" t="e">
        <f t="shared" ca="1" si="9"/>
        <v>#VALUE!</v>
      </c>
      <c r="G183" s="160" t="e">
        <f t="shared" ca="1" si="11"/>
        <v>#VALUE!</v>
      </c>
      <c r="H183" s="160" t="str">
        <f t="shared" ca="1" si="10"/>
        <v/>
      </c>
      <c r="I183" s="160" t="e">
        <f ca="1">IF($G183="Всього:",SUM($I$4:I182),IF(AND(DAY($C$4)&gt;=15,H183=1),K183+L183,$C$32))</f>
        <v>#VALUE!</v>
      </c>
      <c r="J183" s="160" t="e">
        <f ca="1">IF($G183="Всього:",SUM($J$4:J182),IF(I183-SUM(K183:L183)&lt;0,0,I183-SUM(K183:L183)))</f>
        <v>#VALUE!</v>
      </c>
      <c r="K183" s="160" t="e">
        <f ca="1">IF(G183="Всього:",SUM($K$5:K182),IF(F183&lt;&gt;F182,(F183*O182/36000*(G183-CONCATENATE(DAY($C$4),".",MONTH(G182),".",YEAR(G182)))+(F182*O182/36000*(CONCATENATE(DAY($C$4),".",MONTH(G182),".",YEAR(G182))-G182))),F183*O182/36000*(G183-G182)))</f>
        <v>#VALUE!</v>
      </c>
      <c r="L183" s="160" t="e">
        <f ca="1">IF(G183="Всього:",SUM($L$5:L182),$E$4)</f>
        <v>#VALUE!</v>
      </c>
      <c r="M183" s="160" t="e">
        <f ca="1">IF(G183="Всього:",SUM($M$5:M182),IF($E$5="UAH",J183+L183+K183,J183+K183))</f>
        <v>#VALUE!</v>
      </c>
      <c r="N183" s="160" t="e">
        <f ca="1">IF(G183="Всього:",SUM($N$4:N182),IF($E$5="UAH","",L183))</f>
        <v>#VALUE!</v>
      </c>
      <c r="O183" s="160" t="e">
        <f t="shared" ca="1" si="8"/>
        <v>#VALUE!</v>
      </c>
    </row>
    <row r="184" spans="6:15" x14ac:dyDescent="0.3">
      <c r="F184" s="160" t="e">
        <f t="shared" ca="1" si="9"/>
        <v>#VALUE!</v>
      </c>
      <c r="G184" s="160" t="e">
        <f t="shared" ca="1" si="11"/>
        <v>#VALUE!</v>
      </c>
      <c r="H184" s="160" t="str">
        <f t="shared" ca="1" si="10"/>
        <v/>
      </c>
      <c r="I184" s="160" t="e">
        <f ca="1">IF($G184="Всього:",SUM($I$4:I183),IF(AND(DAY($C$4)&gt;=15,H184=1),K184+L184,$C$32))</f>
        <v>#VALUE!</v>
      </c>
      <c r="J184" s="160" t="e">
        <f ca="1">IF($G184="Всього:",SUM($J$4:J183),IF(I184-SUM(K184:L184)&lt;0,0,I184-SUM(K184:L184)))</f>
        <v>#VALUE!</v>
      </c>
      <c r="K184" s="160" t="e">
        <f ca="1">IF(G184="Всього:",SUM($K$5:K183),IF(F184&lt;&gt;F183,(F184*O183/36000*(G184-CONCATENATE(DAY($C$4),".",MONTH(G183),".",YEAR(G183)))+(F183*O183/36000*(CONCATENATE(DAY($C$4),".",MONTH(G183),".",YEAR(G183))-G183))),F184*O183/36000*(G184-G183)))</f>
        <v>#VALUE!</v>
      </c>
      <c r="L184" s="160" t="e">
        <f ca="1">IF(G184="Всього:",SUM($L$5:L183),$E$4)</f>
        <v>#VALUE!</v>
      </c>
      <c r="M184" s="160" t="e">
        <f ca="1">IF(G184="Всього:",SUM($M$5:M183),IF($E$5="UAH",J184+L184+K184,J184+K184))</f>
        <v>#VALUE!</v>
      </c>
      <c r="N184" s="160" t="e">
        <f ca="1">IF(G184="Всього:",SUM($N$4:N183),IF($E$5="UAH","",L184))</f>
        <v>#VALUE!</v>
      </c>
      <c r="O184" s="160" t="e">
        <f t="shared" ca="1" si="8"/>
        <v>#VALUE!</v>
      </c>
    </row>
    <row r="185" spans="6:15" x14ac:dyDescent="0.3">
      <c r="F185" s="160" t="e">
        <f t="shared" ca="1" si="9"/>
        <v>#VALUE!</v>
      </c>
      <c r="G185" s="160" t="e">
        <f t="shared" ca="1" si="11"/>
        <v>#VALUE!</v>
      </c>
      <c r="H185" s="160" t="str">
        <f t="shared" ca="1" si="10"/>
        <v/>
      </c>
      <c r="I185" s="160" t="e">
        <f ca="1">IF($G185="Всього:",SUM($I$4:I184),IF(AND(DAY($C$4)&gt;=15,H185=1),K185+L185,$C$32))</f>
        <v>#VALUE!</v>
      </c>
      <c r="J185" s="160" t="e">
        <f ca="1">IF($G185="Всього:",SUM($J$4:J184),IF(I185-SUM(K185:L185)&lt;0,0,I185-SUM(K185:L185)))</f>
        <v>#VALUE!</v>
      </c>
      <c r="K185" s="160" t="e">
        <f ca="1">IF(G185="Всього:",SUM($K$5:K184),IF(F185&lt;&gt;F184,(F185*O184/36000*(G185-CONCATENATE(DAY($C$4),".",MONTH(G184),".",YEAR(G184)))+(F184*O184/36000*(CONCATENATE(DAY($C$4),".",MONTH(G184),".",YEAR(G184))-G184))),F185*O184/36000*(G185-G184)))</f>
        <v>#VALUE!</v>
      </c>
      <c r="L185" s="160" t="e">
        <f ca="1">IF(G185="Всього:",SUM($L$5:L184),$E$4)</f>
        <v>#VALUE!</v>
      </c>
      <c r="M185" s="160" t="e">
        <f ca="1">IF(G185="Всього:",SUM($M$5:M184),IF($E$5="UAH",J185+L185+K185,J185+K185))</f>
        <v>#VALUE!</v>
      </c>
      <c r="N185" s="160" t="e">
        <f ca="1">IF(G185="Всього:",SUM($N$4:N184),IF($E$5="UAH","",L185))</f>
        <v>#VALUE!</v>
      </c>
      <c r="O185" s="160" t="e">
        <f t="shared" ca="1" si="8"/>
        <v>#VALUE!</v>
      </c>
    </row>
    <row r="186" spans="6:15" x14ac:dyDescent="0.3">
      <c r="F186" s="160" t="e">
        <f t="shared" ca="1" si="9"/>
        <v>#VALUE!</v>
      </c>
      <c r="G186" s="160" t="e">
        <f t="shared" ca="1" si="11"/>
        <v>#VALUE!</v>
      </c>
      <c r="H186" s="160" t="str">
        <f t="shared" ca="1" si="10"/>
        <v/>
      </c>
      <c r="I186" s="160" t="e">
        <f ca="1">IF($G186="Всього:",SUM($I$4:I185),IF(AND(DAY($C$4)&gt;=15,H186=1),K186+L186,$C$32))</f>
        <v>#VALUE!</v>
      </c>
      <c r="J186" s="160" t="e">
        <f ca="1">IF($G186="Всього:",SUM($J$4:J185),IF(I186-SUM(K186:L186)&lt;0,0,I186-SUM(K186:L186)))</f>
        <v>#VALUE!</v>
      </c>
      <c r="K186" s="160" t="e">
        <f ca="1">IF(G186="Всього:",SUM($K$5:K185),IF(F186&lt;&gt;F185,(F186*O185/36000*(G186-CONCATENATE(DAY($C$4),".",MONTH(G185),".",YEAR(G185)))+(F185*O185/36000*(CONCATENATE(DAY($C$4),".",MONTH(G185),".",YEAR(G185))-G185))),F186*O185/36000*(G186-G185)))</f>
        <v>#VALUE!</v>
      </c>
      <c r="L186" s="160" t="e">
        <f ca="1">IF(G186="Всього:",SUM($L$5:L185),$E$4)</f>
        <v>#VALUE!</v>
      </c>
      <c r="M186" s="160" t="e">
        <f ca="1">IF(G186="Всього:",SUM($M$5:M185),IF($E$5="UAH",J186+L186+K186,J186+K186))</f>
        <v>#VALUE!</v>
      </c>
      <c r="N186" s="160" t="e">
        <f ca="1">IF(G186="Всього:",SUM($N$4:N185),IF($E$5="UAH","",L186))</f>
        <v>#VALUE!</v>
      </c>
      <c r="O186" s="160" t="e">
        <f t="shared" ca="1" si="8"/>
        <v>#VALUE!</v>
      </c>
    </row>
    <row r="187" spans="6:15" x14ac:dyDescent="0.3">
      <c r="F187" s="160" t="e">
        <f t="shared" ca="1" si="9"/>
        <v>#VALUE!</v>
      </c>
      <c r="G187" s="160" t="e">
        <f t="shared" ca="1" si="11"/>
        <v>#VALUE!</v>
      </c>
      <c r="H187" s="160" t="str">
        <f t="shared" ca="1" si="10"/>
        <v/>
      </c>
      <c r="I187" s="160" t="e">
        <f ca="1">IF($G187="Всього:",SUM($I$4:I186),IF(AND(DAY($C$4)&gt;=15,H187=1),K187+L187,$C$32))</f>
        <v>#VALUE!</v>
      </c>
      <c r="J187" s="160" t="e">
        <f ca="1">IF($G187="Всього:",SUM($J$4:J186),IF(I187-SUM(K187:L187)&lt;0,0,I187-SUM(K187:L187)))</f>
        <v>#VALUE!</v>
      </c>
      <c r="K187" s="160" t="e">
        <f ca="1">IF(G187="Всього:",SUM($K$5:K186),IF(F187&lt;&gt;F186,(F187*O186/36000*(G187-CONCATENATE(DAY($C$4),".",MONTH(G186),".",YEAR(G186)))+(F186*O186/36000*(CONCATENATE(DAY($C$4),".",MONTH(G186),".",YEAR(G186))-G186))),F187*O186/36000*(G187-G186)))</f>
        <v>#VALUE!</v>
      </c>
      <c r="L187" s="160" t="e">
        <f ca="1">IF(G187="Всього:",SUM($L$5:L186),$E$4)</f>
        <v>#VALUE!</v>
      </c>
      <c r="M187" s="160" t="e">
        <f ca="1">IF(G187="Всього:",SUM($M$5:M186),IF($E$5="UAH",J187+L187+K187,J187+K187))</f>
        <v>#VALUE!</v>
      </c>
      <c r="N187" s="160" t="e">
        <f ca="1">IF(G187="Всього:",SUM($N$4:N186),IF($E$5="UAH","",L187))</f>
        <v>#VALUE!</v>
      </c>
      <c r="O187" s="160" t="e">
        <f t="shared" ca="1" si="8"/>
        <v>#VALUE!</v>
      </c>
    </row>
    <row r="188" spans="6:15" x14ac:dyDescent="0.3">
      <c r="F188" s="160" t="e">
        <f t="shared" ca="1" si="9"/>
        <v>#VALUE!</v>
      </c>
      <c r="G188" s="160" t="e">
        <f t="shared" ca="1" si="11"/>
        <v>#VALUE!</v>
      </c>
      <c r="H188" s="160" t="str">
        <f t="shared" ca="1" si="10"/>
        <v/>
      </c>
      <c r="I188" s="160" t="e">
        <f ca="1">IF($G188="Всього:",SUM($I$4:I187),IF(AND(DAY($C$4)&gt;=15,H188=1),K188+L188,$C$32))</f>
        <v>#VALUE!</v>
      </c>
      <c r="J188" s="160" t="e">
        <f ca="1">IF($G188="Всього:",SUM($J$4:J187),IF(I188-SUM(K188:L188)&lt;0,0,I188-SUM(K188:L188)))</f>
        <v>#VALUE!</v>
      </c>
      <c r="K188" s="160" t="e">
        <f ca="1">IF(G188="Всього:",SUM($K$5:K187),IF(F188&lt;&gt;F187,(F188*O187/36000*(G188-CONCATENATE(DAY($C$4),".",MONTH(G187),".",YEAR(G187)))+(F187*O187/36000*(CONCATENATE(DAY($C$4),".",MONTH(G187),".",YEAR(G187))-G187))),F188*O187/36000*(G188-G187)))</f>
        <v>#VALUE!</v>
      </c>
      <c r="L188" s="160" t="e">
        <f ca="1">IF(G188="Всього:",SUM($L$5:L187),$E$4)</f>
        <v>#VALUE!</v>
      </c>
      <c r="M188" s="160" t="e">
        <f ca="1">IF(G188="Всього:",SUM($M$5:M187),IF($E$5="UAH",J188+L188+K188,J188+K188))</f>
        <v>#VALUE!</v>
      </c>
      <c r="N188" s="160" t="e">
        <f ca="1">IF(G188="Всього:",SUM($N$4:N187),IF($E$5="UAH","",L188))</f>
        <v>#VALUE!</v>
      </c>
      <c r="O188" s="160" t="e">
        <f t="shared" ca="1" si="8"/>
        <v>#VALUE!</v>
      </c>
    </row>
    <row r="189" spans="6:15" x14ac:dyDescent="0.3">
      <c r="F189" s="160" t="e">
        <f t="shared" ca="1" si="9"/>
        <v>#VALUE!</v>
      </c>
      <c r="G189" s="160" t="e">
        <f t="shared" ca="1" si="11"/>
        <v>#VALUE!</v>
      </c>
      <c r="H189" s="160" t="str">
        <f t="shared" ca="1" si="10"/>
        <v/>
      </c>
      <c r="I189" s="160" t="e">
        <f ca="1">IF($G189="Всього:",SUM($I$4:I188),IF(AND(DAY($C$4)&gt;=15,H189=1),K189+L189,$C$32))</f>
        <v>#VALUE!</v>
      </c>
      <c r="J189" s="160" t="e">
        <f ca="1">IF($G189="Всього:",SUM($J$4:J188),IF(I189-SUM(K189:L189)&lt;0,0,I189-SUM(K189:L189)))</f>
        <v>#VALUE!</v>
      </c>
      <c r="K189" s="160" t="e">
        <f ca="1">IF(G189="Всього:",SUM($K$5:K188),IF(F189&lt;&gt;F188,(F189*O188/36000*(G189-CONCATENATE(DAY($C$4),".",MONTH(G188),".",YEAR(G188)))+(F188*O188/36000*(CONCATENATE(DAY($C$4),".",MONTH(G188),".",YEAR(G188))-G188))),F189*O188/36000*(G189-G188)))</f>
        <v>#VALUE!</v>
      </c>
      <c r="L189" s="160" t="e">
        <f ca="1">IF(G189="Всього:",SUM($L$5:L188),$E$4)</f>
        <v>#VALUE!</v>
      </c>
      <c r="M189" s="160" t="e">
        <f ca="1">IF(G189="Всього:",SUM($M$5:M188),IF($E$5="UAH",J189+L189+K189,J189+K189))</f>
        <v>#VALUE!</v>
      </c>
      <c r="N189" s="160" t="e">
        <f ca="1">IF(G189="Всього:",SUM($N$4:N188),IF($E$5="UAH","",L189))</f>
        <v>#VALUE!</v>
      </c>
      <c r="O189" s="160" t="e">
        <f t="shared" ca="1" si="8"/>
        <v>#VALUE!</v>
      </c>
    </row>
    <row r="190" spans="6:15" x14ac:dyDescent="0.3">
      <c r="F190" s="160" t="e">
        <f t="shared" ca="1" si="9"/>
        <v>#VALUE!</v>
      </c>
      <c r="G190" s="160" t="e">
        <f t="shared" ca="1" si="11"/>
        <v>#VALUE!</v>
      </c>
      <c r="H190" s="160" t="str">
        <f t="shared" ca="1" si="10"/>
        <v/>
      </c>
      <c r="I190" s="160" t="e">
        <f ca="1">IF($G190="Всього:",SUM($I$4:I189),IF(AND(DAY($C$4)&gt;=15,H190=1),K190+L190,$C$32))</f>
        <v>#VALUE!</v>
      </c>
      <c r="J190" s="160" t="e">
        <f ca="1">IF($G190="Всього:",SUM($J$4:J189),IF(I190-SUM(K190:L190)&lt;0,0,I190-SUM(K190:L190)))</f>
        <v>#VALUE!</v>
      </c>
      <c r="K190" s="160" t="e">
        <f ca="1">IF(G190="Всього:",SUM($K$5:K189),IF(F190&lt;&gt;F189,(F190*O189/36000*(G190-CONCATENATE(DAY($C$4),".",MONTH(G189),".",YEAR(G189)))+(F189*O189/36000*(CONCATENATE(DAY($C$4),".",MONTH(G189),".",YEAR(G189))-G189))),F190*O189/36000*(G190-G189)))</f>
        <v>#VALUE!</v>
      </c>
      <c r="L190" s="160" t="e">
        <f ca="1">IF(G190="Всього:",SUM($L$5:L189),$E$4)</f>
        <v>#VALUE!</v>
      </c>
      <c r="M190" s="160" t="e">
        <f ca="1">IF(G190="Всього:",SUM($M$5:M189),IF($E$5="UAH",J190+L190+K190,J190+K190))</f>
        <v>#VALUE!</v>
      </c>
      <c r="N190" s="160" t="e">
        <f ca="1">IF(G190="Всього:",SUM($N$4:N189),IF($E$5="UAH","",L190))</f>
        <v>#VALUE!</v>
      </c>
      <c r="O190" s="160" t="e">
        <f t="shared" ca="1" si="8"/>
        <v>#VALUE!</v>
      </c>
    </row>
    <row r="191" spans="6:15" x14ac:dyDescent="0.3">
      <c r="F191" s="160" t="e">
        <f t="shared" ca="1" si="9"/>
        <v>#VALUE!</v>
      </c>
      <c r="G191" s="160" t="e">
        <f t="shared" ca="1" si="11"/>
        <v>#VALUE!</v>
      </c>
      <c r="H191" s="160" t="str">
        <f t="shared" ca="1" si="10"/>
        <v/>
      </c>
      <c r="I191" s="160" t="e">
        <f ca="1">IF($G191="Всього:",SUM($I$4:I190),IF(AND(DAY($C$4)&gt;=15,H191=1),K191+L191,$C$32))</f>
        <v>#VALUE!</v>
      </c>
      <c r="J191" s="160" t="e">
        <f ca="1">IF($G191="Всього:",SUM($J$4:J190),IF(I191-SUM(K191:L191)&lt;0,0,I191-SUM(K191:L191)))</f>
        <v>#VALUE!</v>
      </c>
      <c r="K191" s="160" t="e">
        <f ca="1">IF(G191="Всього:",SUM($K$5:K190),IF(F191&lt;&gt;F190,(F191*O190/36000*(G191-CONCATENATE(DAY($C$4),".",MONTH(G190),".",YEAR(G190)))+(F190*O190/36000*(CONCATENATE(DAY($C$4),".",MONTH(G190),".",YEAR(G190))-G190))),F191*O190/36000*(G191-G190)))</f>
        <v>#VALUE!</v>
      </c>
      <c r="L191" s="160" t="e">
        <f ca="1">IF(G191="Всього:",SUM($L$5:L190),$E$4)</f>
        <v>#VALUE!</v>
      </c>
      <c r="M191" s="160" t="e">
        <f ca="1">IF(G191="Всього:",SUM($M$5:M190),IF($E$5="UAH",J191+L191+K191,J191+K191))</f>
        <v>#VALUE!</v>
      </c>
      <c r="N191" s="160" t="e">
        <f ca="1">IF(G191="Всього:",SUM($N$4:N190),IF($E$5="UAH","",L191))</f>
        <v>#VALUE!</v>
      </c>
      <c r="O191" s="160" t="e">
        <f t="shared" ca="1" si="8"/>
        <v>#VALUE!</v>
      </c>
    </row>
    <row r="192" spans="6:15" x14ac:dyDescent="0.3">
      <c r="F192" s="160" t="e">
        <f t="shared" ca="1" si="9"/>
        <v>#VALUE!</v>
      </c>
      <c r="G192" s="160" t="e">
        <f t="shared" ca="1" si="11"/>
        <v>#VALUE!</v>
      </c>
      <c r="H192" s="160" t="str">
        <f t="shared" ca="1" si="10"/>
        <v/>
      </c>
      <c r="I192" s="160" t="e">
        <f ca="1">IF($G192="Всього:",SUM($I$4:I191),IF(AND(DAY($C$4)&gt;=15,H192=1),K192+L192,$C$32))</f>
        <v>#VALUE!</v>
      </c>
      <c r="J192" s="160" t="e">
        <f ca="1">IF($G192="Всього:",SUM($J$4:J191),IF(I192-SUM(K192:L192)&lt;0,0,I192-SUM(K192:L192)))</f>
        <v>#VALUE!</v>
      </c>
      <c r="K192" s="160" t="e">
        <f ca="1">IF(G192="Всього:",SUM($K$5:K191),IF(F192&lt;&gt;F191,(F192*O191/36000*(G192-CONCATENATE(DAY($C$4),".",MONTH(G191),".",YEAR(G191)))+(F191*O191/36000*(CONCATENATE(DAY($C$4),".",MONTH(G191),".",YEAR(G191))-G191))),F192*O191/36000*(G192-G191)))</f>
        <v>#VALUE!</v>
      </c>
      <c r="L192" s="160" t="e">
        <f ca="1">IF(G192="Всього:",SUM($L$5:L191),$E$4)</f>
        <v>#VALUE!</v>
      </c>
      <c r="M192" s="160" t="e">
        <f ca="1">IF(G192="Всього:",SUM($M$5:M191),IF($E$5="UAH",J192+L192+K192,J192+K192))</f>
        <v>#VALUE!</v>
      </c>
      <c r="N192" s="160" t="e">
        <f ca="1">IF(G192="Всього:",SUM($N$4:N191),IF($E$5="UAH","",L192))</f>
        <v>#VALUE!</v>
      </c>
      <c r="O192" s="160" t="e">
        <f t="shared" ca="1" si="8"/>
        <v>#VALUE!</v>
      </c>
    </row>
    <row r="193" spans="6:15" x14ac:dyDescent="0.3">
      <c r="F193" s="160" t="e">
        <f t="shared" ca="1" si="9"/>
        <v>#VALUE!</v>
      </c>
      <c r="G193" s="160" t="e">
        <f t="shared" ca="1" si="11"/>
        <v>#VALUE!</v>
      </c>
      <c r="H193" s="160" t="str">
        <f t="shared" ca="1" si="10"/>
        <v/>
      </c>
      <c r="I193" s="160" t="e">
        <f ca="1">IF($G193="Всього:",SUM($I$4:I192),IF(AND(DAY($C$4)&gt;=15,H193=1),K193+L193,$C$32))</f>
        <v>#VALUE!</v>
      </c>
      <c r="J193" s="160" t="e">
        <f ca="1">IF($G193="Всього:",SUM($J$4:J192),IF(I193-SUM(K193:L193)&lt;0,0,I193-SUM(K193:L193)))</f>
        <v>#VALUE!</v>
      </c>
      <c r="K193" s="160" t="e">
        <f ca="1">IF(G193="Всього:",SUM($K$5:K192),IF(F193&lt;&gt;F192,(F193*O192/36000*(G193-CONCATENATE(DAY($C$4),".",MONTH(G192),".",YEAR(G192)))+(F192*O192/36000*(CONCATENATE(DAY($C$4),".",MONTH(G192),".",YEAR(G192))-G192))),F193*O192/36000*(G193-G192)))</f>
        <v>#VALUE!</v>
      </c>
      <c r="L193" s="160" t="e">
        <f ca="1">IF(G193="Всього:",SUM($L$5:L192),$E$4)</f>
        <v>#VALUE!</v>
      </c>
      <c r="M193" s="160" t="e">
        <f ca="1">IF(G193="Всього:",SUM($M$5:M192),IF($E$5="UAH",J193+L193+K193,J193+K193))</f>
        <v>#VALUE!</v>
      </c>
      <c r="N193" s="160" t="e">
        <f ca="1">IF(G193="Всього:",SUM($N$4:N192),IF($E$5="UAH","",L193))</f>
        <v>#VALUE!</v>
      </c>
      <c r="O193" s="160" t="e">
        <f t="shared" ca="1" si="8"/>
        <v>#VALUE!</v>
      </c>
    </row>
    <row r="194" spans="6:15" x14ac:dyDescent="0.3">
      <c r="F194" s="160" t="e">
        <f t="shared" ca="1" si="9"/>
        <v>#VALUE!</v>
      </c>
      <c r="G194" s="160" t="e">
        <f t="shared" ca="1" si="11"/>
        <v>#VALUE!</v>
      </c>
      <c r="H194" s="160" t="str">
        <f t="shared" ca="1" si="10"/>
        <v/>
      </c>
      <c r="I194" s="160" t="e">
        <f ca="1">IF($G194="Всього:",SUM($I$4:I193),IF(AND(DAY($C$4)&gt;=15,H194=1),K194+L194,$C$32))</f>
        <v>#VALUE!</v>
      </c>
      <c r="J194" s="160" t="e">
        <f ca="1">IF($G194="Всього:",SUM($J$4:J193),IF(I194-SUM(K194:L194)&lt;0,0,I194-SUM(K194:L194)))</f>
        <v>#VALUE!</v>
      </c>
      <c r="K194" s="160" t="e">
        <f ca="1">IF(G194="Всього:",SUM($K$5:K193),IF(F194&lt;&gt;F193,(F194*O193/36000*(G194-CONCATENATE(DAY($C$4),".",MONTH(G193),".",YEAR(G193)))+(F193*O193/36000*(CONCATENATE(DAY($C$4),".",MONTH(G193),".",YEAR(G193))-G193))),F194*O193/36000*(G194-G193)))</f>
        <v>#VALUE!</v>
      </c>
      <c r="L194" s="160" t="e">
        <f ca="1">IF(G194="Всього:",SUM($L$5:L193),$E$4)</f>
        <v>#VALUE!</v>
      </c>
      <c r="M194" s="160" t="e">
        <f ca="1">IF(G194="Всього:",SUM($M$5:M193),IF($E$5="UAH",J194+L194+K194,J194+K194))</f>
        <v>#VALUE!</v>
      </c>
      <c r="N194" s="160" t="e">
        <f ca="1">IF(G194="Всього:",SUM($N$4:N193),IF($E$5="UAH","",L194))</f>
        <v>#VALUE!</v>
      </c>
      <c r="O194" s="160" t="e">
        <f t="shared" ca="1" si="8"/>
        <v>#VALUE!</v>
      </c>
    </row>
    <row r="195" spans="6:15" x14ac:dyDescent="0.3">
      <c r="F195" s="160" t="e">
        <f t="shared" ca="1" si="9"/>
        <v>#VALUE!</v>
      </c>
      <c r="G195" s="160" t="e">
        <f t="shared" ca="1" si="11"/>
        <v>#VALUE!</v>
      </c>
      <c r="H195" s="160" t="str">
        <f t="shared" ca="1" si="10"/>
        <v/>
      </c>
      <c r="I195" s="160" t="e">
        <f ca="1">IF($G195="Всього:",SUM($I$4:I194),IF(AND(DAY($C$4)&gt;=15,H195=1),K195+L195,$C$32))</f>
        <v>#VALUE!</v>
      </c>
      <c r="J195" s="160" t="e">
        <f ca="1">IF($G195="Всього:",SUM($J$4:J194),IF(I195-SUM(K195:L195)&lt;0,0,I195-SUM(K195:L195)))</f>
        <v>#VALUE!</v>
      </c>
      <c r="K195" s="160" t="e">
        <f ca="1">IF(G195="Всього:",SUM($K$5:K194),IF(F195&lt;&gt;F194,(F195*O194/36000*(G195-CONCATENATE(DAY($C$4),".",MONTH(G194),".",YEAR(G194)))+(F194*O194/36000*(CONCATENATE(DAY($C$4),".",MONTH(G194),".",YEAR(G194))-G194))),F195*O194/36000*(G195-G194)))</f>
        <v>#VALUE!</v>
      </c>
      <c r="L195" s="160" t="e">
        <f ca="1">IF(G195="Всього:",SUM($L$5:L194),$E$4)</f>
        <v>#VALUE!</v>
      </c>
      <c r="M195" s="160" t="e">
        <f ca="1">IF(G195="Всього:",SUM($M$5:M194),IF($E$5="UAH",J195+L195+K195,J195+K195))</f>
        <v>#VALUE!</v>
      </c>
      <c r="N195" s="160" t="e">
        <f ca="1">IF(G195="Всього:",SUM($N$4:N194),IF($E$5="UAH","",L195))</f>
        <v>#VALUE!</v>
      </c>
      <c r="O195" s="160" t="e">
        <f t="shared" ca="1" si="8"/>
        <v>#VALUE!</v>
      </c>
    </row>
    <row r="196" spans="6:15" x14ac:dyDescent="0.3">
      <c r="F196" s="160" t="e">
        <f t="shared" ca="1" si="9"/>
        <v>#VALUE!</v>
      </c>
      <c r="G196" s="160" t="e">
        <f t="shared" ca="1" si="11"/>
        <v>#VALUE!</v>
      </c>
      <c r="H196" s="160" t="str">
        <f t="shared" ca="1" si="10"/>
        <v/>
      </c>
      <c r="I196" s="160" t="e">
        <f ca="1">IF($G196="Всього:",SUM($I$4:I195),IF(AND(DAY($C$4)&gt;=15,H196=1),K196+L196,$C$32))</f>
        <v>#VALUE!</v>
      </c>
      <c r="J196" s="160" t="e">
        <f ca="1">IF($G196="Всього:",SUM($J$4:J195),IF(I196-SUM(K196:L196)&lt;0,0,I196-SUM(K196:L196)))</f>
        <v>#VALUE!</v>
      </c>
      <c r="K196" s="160" t="e">
        <f ca="1">IF(G196="Всього:",SUM($K$5:K195),IF(F196&lt;&gt;F195,(F196*O195/36000*(G196-CONCATENATE(DAY($C$4),".",MONTH(G195),".",YEAR(G195)))+(F195*O195/36000*(CONCATENATE(DAY($C$4),".",MONTH(G195),".",YEAR(G195))-G195))),F196*O195/36000*(G196-G195)))</f>
        <v>#VALUE!</v>
      </c>
      <c r="L196" s="160" t="e">
        <f ca="1">IF(G196="Всього:",SUM($L$5:L195),$E$4)</f>
        <v>#VALUE!</v>
      </c>
      <c r="M196" s="160" t="e">
        <f ca="1">IF(G196="Всього:",SUM($M$5:M195),IF($E$5="UAH",J196+L196+K196,J196+K196))</f>
        <v>#VALUE!</v>
      </c>
      <c r="N196" s="160" t="e">
        <f ca="1">IF(G196="Всього:",SUM($N$4:N195),IF($E$5="UAH","",L196))</f>
        <v>#VALUE!</v>
      </c>
      <c r="O196" s="160" t="e">
        <f t="shared" ca="1" si="8"/>
        <v>#VALUE!</v>
      </c>
    </row>
    <row r="197" spans="6:15" x14ac:dyDescent="0.3">
      <c r="F197" s="160" t="e">
        <f t="shared" ca="1" si="9"/>
        <v>#VALUE!</v>
      </c>
      <c r="G197" s="160" t="e">
        <f t="shared" ca="1" si="11"/>
        <v>#VALUE!</v>
      </c>
      <c r="H197" s="160" t="str">
        <f t="shared" ca="1" si="10"/>
        <v/>
      </c>
      <c r="I197" s="160" t="e">
        <f ca="1">IF($G197="Всього:",SUM($I$4:I196),IF(AND(DAY($C$4)&gt;=15,H197=1),K197+L197,$C$32))</f>
        <v>#VALUE!</v>
      </c>
      <c r="J197" s="160" t="e">
        <f ca="1">IF($G197="Всього:",SUM($J$4:J196),IF(I197-SUM(K197:L197)&lt;0,0,I197-SUM(K197:L197)))</f>
        <v>#VALUE!</v>
      </c>
      <c r="K197" s="160" t="e">
        <f ca="1">IF(G197="Всього:",SUM($K$5:K196),IF(F197&lt;&gt;F196,(F197*O196/36000*(G197-CONCATENATE(DAY($C$4),".",MONTH(G196),".",YEAR(G196)))+(F196*O196/36000*(CONCATENATE(DAY($C$4),".",MONTH(G196),".",YEAR(G196))-G196))),F197*O196/36000*(G197-G196)))</f>
        <v>#VALUE!</v>
      </c>
      <c r="L197" s="160" t="e">
        <f ca="1">IF(G197="Всього:",SUM($L$5:L196),$E$4)</f>
        <v>#VALUE!</v>
      </c>
      <c r="M197" s="160" t="e">
        <f ca="1">IF(G197="Всього:",SUM($M$5:M196),IF($E$5="UAH",J197+L197+K197,J197+K197))</f>
        <v>#VALUE!</v>
      </c>
      <c r="N197" s="160" t="e">
        <f ca="1">IF(G197="Всього:",SUM($N$4:N196),IF($E$5="UAH","",L197))</f>
        <v>#VALUE!</v>
      </c>
      <c r="O197" s="160" t="e">
        <f t="shared" ref="O197:O248" ca="1" si="12">O196-J197</f>
        <v>#VALUE!</v>
      </c>
    </row>
    <row r="198" spans="6:15" x14ac:dyDescent="0.3">
      <c r="F198" s="160" t="e">
        <f t="shared" ref="F198:F247" ca="1" si="13">IF(G198="Всього:","",IF(AND(G198&gt;$B$9,G198&lt;=$B$10),$C$16,IF(AND(G198&gt;$B$9,G198&lt;=$B$11),$D$16,IF(AND(G198&gt;$B$10,G198&lt;=$B$14),$E$16,$B$16))))</f>
        <v>#VALUE!</v>
      </c>
      <c r="G198" s="160" t="e">
        <f t="shared" ca="1" si="11"/>
        <v>#VALUE!</v>
      </c>
      <c r="H198" s="160" t="str">
        <f t="shared" ref="H198:H247" ca="1" si="14">IF(H197&gt;$E$8,"",H197+1)</f>
        <v/>
      </c>
      <c r="I198" s="160" t="e">
        <f ca="1">IF($G198="Всього:",SUM($I$4:I197),IF(AND(DAY($C$4)&gt;=15,H198=1),K198+L198,$C$32))</f>
        <v>#VALUE!</v>
      </c>
      <c r="J198" s="160" t="e">
        <f ca="1">IF($G198="Всього:",SUM($J$4:J197),IF(I198-SUM(K198:L198)&lt;0,0,I198-SUM(K198:L198)))</f>
        <v>#VALUE!</v>
      </c>
      <c r="K198" s="160" t="e">
        <f ca="1">IF(G198="Всього:",SUM($K$5:K197),IF(F198&lt;&gt;F197,(F198*O197/36000*(G198-CONCATENATE(DAY($C$4),".",MONTH(G197),".",YEAR(G197)))+(F197*O197/36000*(CONCATENATE(DAY($C$4),".",MONTH(G197),".",YEAR(G197))-G197))),F198*O197/36000*(G198-G197)))</f>
        <v>#VALUE!</v>
      </c>
      <c r="L198" s="160" t="e">
        <f ca="1">IF(G198="Всього:",SUM($L$5:L197),$E$4)</f>
        <v>#VALUE!</v>
      </c>
      <c r="M198" s="160" t="e">
        <f ca="1">IF(G198="Всього:",SUM($M$5:M197),IF($E$5="UAH",J198+L198+K198,J198+K198))</f>
        <v>#VALUE!</v>
      </c>
      <c r="N198" s="160" t="e">
        <f ca="1">IF(G198="Всього:",SUM($N$4:N197),IF($E$5="UAH","",L198))</f>
        <v>#VALUE!</v>
      </c>
      <c r="O198" s="160" t="e">
        <f t="shared" ca="1" si="12"/>
        <v>#VALUE!</v>
      </c>
    </row>
    <row r="199" spans="6:15" x14ac:dyDescent="0.3">
      <c r="F199" s="160" t="e">
        <f t="shared" ca="1" si="13"/>
        <v>#VALUE!</v>
      </c>
      <c r="G199" s="160" t="e">
        <f t="shared" ref="G199:G247" ca="1" si="15">IF(H198=$E$8,"Всього:",IF($E$3+1=H199,$B$14,DATE(YEAR(G198),MONTH(G198)+1,IF($B$7&lt;&gt;"",DAY(IF($B$7&gt;DAY(EOMONTH(G198,1)),EOMONTH(G198,1),$B$7)),DAY(1)))))</f>
        <v>#VALUE!</v>
      </c>
      <c r="H199" s="160" t="str">
        <f t="shared" ca="1" si="14"/>
        <v/>
      </c>
      <c r="I199" s="160" t="e">
        <f ca="1">IF($G199="Всього:",SUM($I$4:I198),IF(AND(DAY($C$4)&gt;=15,H199=1),K199+L199,$C$32))</f>
        <v>#VALUE!</v>
      </c>
      <c r="J199" s="160" t="e">
        <f ca="1">IF($G199="Всього:",SUM($J$4:J198),IF(I199-SUM(K199:L199)&lt;0,0,I199-SUM(K199:L199)))</f>
        <v>#VALUE!</v>
      </c>
      <c r="K199" s="160" t="e">
        <f ca="1">IF(G199="Всього:",SUM($K$5:K198),IF(F199&lt;&gt;F198,(F199*O198/36000*(G199-CONCATENATE(DAY($C$4),".",MONTH(G198),".",YEAR(G198)))+(F198*O198/36000*(CONCATENATE(DAY($C$4),".",MONTH(G198),".",YEAR(G198))-G198))),F199*O198/36000*(G199-G198)))</f>
        <v>#VALUE!</v>
      </c>
      <c r="L199" s="160" t="e">
        <f ca="1">IF(G199="Всього:",SUM($L$5:L198),$E$4)</f>
        <v>#VALUE!</v>
      </c>
      <c r="M199" s="160" t="e">
        <f ca="1">IF(G199="Всього:",SUM($M$5:M198),IF($E$5="UAH",J199+L199+K199,J199+K199))</f>
        <v>#VALUE!</v>
      </c>
      <c r="N199" s="160" t="e">
        <f ca="1">IF(G199="Всього:",SUM($N$4:N198),IF($E$5="UAH","",L199))</f>
        <v>#VALUE!</v>
      </c>
      <c r="O199" s="160" t="e">
        <f t="shared" ca="1" si="12"/>
        <v>#VALUE!</v>
      </c>
    </row>
    <row r="200" spans="6:15" x14ac:dyDescent="0.3">
      <c r="F200" s="160" t="e">
        <f t="shared" ca="1" si="13"/>
        <v>#VALUE!</v>
      </c>
      <c r="G200" s="160" t="e">
        <f t="shared" ca="1" si="15"/>
        <v>#VALUE!</v>
      </c>
      <c r="H200" s="160" t="str">
        <f t="shared" ca="1" si="14"/>
        <v/>
      </c>
      <c r="I200" s="160" t="e">
        <f ca="1">IF($G200="Всього:",SUM($I$4:I199),IF(AND(DAY($C$4)&gt;=15,H200=1),K200+L200,$C$32))</f>
        <v>#VALUE!</v>
      </c>
      <c r="J200" s="160" t="e">
        <f ca="1">IF($G200="Всього:",SUM($J$4:J199),IF(I200-SUM(K200:L200)&lt;0,0,I200-SUM(K200:L200)))</f>
        <v>#VALUE!</v>
      </c>
      <c r="K200" s="160" t="e">
        <f ca="1">IF(G200="Всього:",SUM($K$5:K199),IF(F200&lt;&gt;F199,(F200*O199/36000*(G200-CONCATENATE(DAY($C$4),".",MONTH(G199),".",YEAR(G199)))+(F199*O199/36000*(CONCATENATE(DAY($C$4),".",MONTH(G199),".",YEAR(G199))-G199))),F200*O199/36000*(G200-G199)))</f>
        <v>#VALUE!</v>
      </c>
      <c r="L200" s="160" t="e">
        <f ca="1">IF(G200="Всього:",SUM($L$5:L199),$E$4)</f>
        <v>#VALUE!</v>
      </c>
      <c r="M200" s="160" t="e">
        <f ca="1">IF(G200="Всього:",SUM($M$5:M199),IF($E$5="UAH",J200+L200+K200,J200+K200))</f>
        <v>#VALUE!</v>
      </c>
      <c r="N200" s="160" t="e">
        <f ca="1">IF(G200="Всього:",SUM($N$4:N199),IF($E$5="UAH","",L200))</f>
        <v>#VALUE!</v>
      </c>
      <c r="O200" s="160" t="e">
        <f t="shared" ca="1" si="12"/>
        <v>#VALUE!</v>
      </c>
    </row>
    <row r="201" spans="6:15" x14ac:dyDescent="0.3">
      <c r="F201" s="160" t="e">
        <f t="shared" ca="1" si="13"/>
        <v>#VALUE!</v>
      </c>
      <c r="G201" s="160" t="e">
        <f t="shared" ca="1" si="15"/>
        <v>#VALUE!</v>
      </c>
      <c r="H201" s="160" t="str">
        <f t="shared" ca="1" si="14"/>
        <v/>
      </c>
      <c r="I201" s="160" t="e">
        <f ca="1">IF($G201="Всього:",SUM($I$4:I200),IF(AND(DAY($C$4)&gt;=15,H201=1),K201+L201,$C$32))</f>
        <v>#VALUE!</v>
      </c>
      <c r="J201" s="160" t="e">
        <f ca="1">IF($G201="Всього:",SUM($J$4:J200),IF(I201-SUM(K201:L201)&lt;0,0,I201-SUM(K201:L201)))</f>
        <v>#VALUE!</v>
      </c>
      <c r="K201" s="160" t="e">
        <f ca="1">IF(G201="Всього:",SUM($K$5:K200),IF(F201&lt;&gt;F200,(F201*O200/36000*(G201-CONCATENATE(DAY($C$4),".",MONTH(G200),".",YEAR(G200)))+(F200*O200/36000*(CONCATENATE(DAY($C$4),".",MONTH(G200),".",YEAR(G200))-G200))),F201*O200/36000*(G201-G200)))</f>
        <v>#VALUE!</v>
      </c>
      <c r="L201" s="160" t="e">
        <f ca="1">IF(G201="Всього:",SUM($L$5:L200),$E$4)</f>
        <v>#VALUE!</v>
      </c>
      <c r="M201" s="160" t="e">
        <f ca="1">IF(G201="Всього:",SUM($M$5:M200),IF($E$5="UAH",J201+L201+K201,J201+K201))</f>
        <v>#VALUE!</v>
      </c>
      <c r="N201" s="160" t="e">
        <f ca="1">IF(G201="Всього:",SUM($N$4:N200),IF($E$5="UAH","",L201))</f>
        <v>#VALUE!</v>
      </c>
      <c r="O201" s="160" t="e">
        <f t="shared" ca="1" si="12"/>
        <v>#VALUE!</v>
      </c>
    </row>
    <row r="202" spans="6:15" x14ac:dyDescent="0.3">
      <c r="F202" s="160" t="e">
        <f t="shared" ca="1" si="13"/>
        <v>#VALUE!</v>
      </c>
      <c r="G202" s="160" t="e">
        <f t="shared" ca="1" si="15"/>
        <v>#VALUE!</v>
      </c>
      <c r="H202" s="160" t="str">
        <f t="shared" ca="1" si="14"/>
        <v/>
      </c>
      <c r="I202" s="160" t="e">
        <f ca="1">IF($G202="Всього:",SUM($I$4:I201),IF(AND(DAY($C$4)&gt;=15,H202=1),K202+L202,$C$32))</f>
        <v>#VALUE!</v>
      </c>
      <c r="J202" s="160" t="e">
        <f ca="1">IF($G202="Всього:",SUM($J$4:J201),IF(I202-SUM(K202:L202)&lt;0,0,I202-SUM(K202:L202)))</f>
        <v>#VALUE!</v>
      </c>
      <c r="K202" s="160" t="e">
        <f ca="1">IF(G202="Всього:",SUM($K$5:K201),IF(F202&lt;&gt;F201,(F202*O201/36000*(G202-CONCATENATE(DAY($C$4),".",MONTH(G201),".",YEAR(G201)))+(F201*O201/36000*(CONCATENATE(DAY($C$4),".",MONTH(G201),".",YEAR(G201))-G201))),F202*O201/36000*(G202-G201)))</f>
        <v>#VALUE!</v>
      </c>
      <c r="L202" s="160" t="e">
        <f ca="1">IF(G202="Всього:",SUM($L$5:L201),$E$4)</f>
        <v>#VALUE!</v>
      </c>
      <c r="M202" s="160" t="e">
        <f ca="1">IF(G202="Всього:",SUM($M$5:M201),IF($E$5="UAH",J202+L202+K202,J202+K202))</f>
        <v>#VALUE!</v>
      </c>
      <c r="N202" s="160" t="e">
        <f ca="1">IF(G202="Всього:",SUM($N$4:N201),IF($E$5="UAH","",L202))</f>
        <v>#VALUE!</v>
      </c>
      <c r="O202" s="160" t="e">
        <f t="shared" ca="1" si="12"/>
        <v>#VALUE!</v>
      </c>
    </row>
    <row r="203" spans="6:15" x14ac:dyDescent="0.3">
      <c r="F203" s="160" t="e">
        <f t="shared" ca="1" si="13"/>
        <v>#VALUE!</v>
      </c>
      <c r="G203" s="160" t="e">
        <f t="shared" ca="1" si="15"/>
        <v>#VALUE!</v>
      </c>
      <c r="H203" s="160" t="str">
        <f t="shared" ca="1" si="14"/>
        <v/>
      </c>
      <c r="I203" s="160" t="e">
        <f ca="1">IF($G203="Всього:",SUM($I$4:I202),IF(AND(DAY($C$4)&gt;=15,H203=1),K203+L203,$C$32))</f>
        <v>#VALUE!</v>
      </c>
      <c r="J203" s="160" t="e">
        <f ca="1">IF($G203="Всього:",SUM($J$4:J202),IF(I203-SUM(K203:L203)&lt;0,0,I203-SUM(K203:L203)))</f>
        <v>#VALUE!</v>
      </c>
      <c r="K203" s="160" t="e">
        <f ca="1">IF(G203="Всього:",SUM($K$5:K202),IF(F203&lt;&gt;F202,(F203*O202/36000*(G203-CONCATENATE(DAY($C$4),".",MONTH(G202),".",YEAR(G202)))+(F202*O202/36000*(CONCATENATE(DAY($C$4),".",MONTH(G202),".",YEAR(G202))-G202))),F203*O202/36000*(G203-G202)))</f>
        <v>#VALUE!</v>
      </c>
      <c r="L203" s="160" t="e">
        <f ca="1">IF(G203="Всього:",SUM($L$5:L202),$E$4)</f>
        <v>#VALUE!</v>
      </c>
      <c r="M203" s="160" t="e">
        <f ca="1">IF(G203="Всього:",SUM($M$5:M202),IF($E$5="UAH",J203+L203+K203,J203+K203))</f>
        <v>#VALUE!</v>
      </c>
      <c r="N203" s="160" t="e">
        <f ca="1">IF(G203="Всього:",SUM($N$4:N202),IF($E$5="UAH","",L203))</f>
        <v>#VALUE!</v>
      </c>
      <c r="O203" s="160" t="e">
        <f t="shared" ca="1" si="12"/>
        <v>#VALUE!</v>
      </c>
    </row>
    <row r="204" spans="6:15" x14ac:dyDescent="0.3">
      <c r="F204" s="160" t="e">
        <f t="shared" ca="1" si="13"/>
        <v>#VALUE!</v>
      </c>
      <c r="G204" s="160" t="e">
        <f t="shared" ca="1" si="15"/>
        <v>#VALUE!</v>
      </c>
      <c r="H204" s="160" t="str">
        <f t="shared" ca="1" si="14"/>
        <v/>
      </c>
      <c r="I204" s="160" t="e">
        <f ca="1">IF($G204="Всього:",SUM($I$4:I203),IF(AND(DAY($C$4)&gt;=15,H204=1),K204+L204,$C$32))</f>
        <v>#VALUE!</v>
      </c>
      <c r="J204" s="160" t="e">
        <f ca="1">IF($G204="Всього:",SUM($J$4:J203),IF(I204-SUM(K204:L204)&lt;0,0,I204-SUM(K204:L204)))</f>
        <v>#VALUE!</v>
      </c>
      <c r="K204" s="160" t="e">
        <f ca="1">IF(G204="Всього:",SUM($K$5:K203),IF(F204&lt;&gt;F203,(F204*O203/36000*(G204-CONCATENATE(DAY($C$4),".",MONTH(G203),".",YEAR(G203)))+(F203*O203/36000*(CONCATENATE(DAY($C$4),".",MONTH(G203),".",YEAR(G203))-G203))),F204*O203/36000*(G204-G203)))</f>
        <v>#VALUE!</v>
      </c>
      <c r="L204" s="160" t="e">
        <f ca="1">IF(G204="Всього:",SUM($L$5:L203),$E$4)</f>
        <v>#VALUE!</v>
      </c>
      <c r="M204" s="160" t="e">
        <f ca="1">IF(G204="Всього:",SUM($M$5:M203),IF($E$5="UAH",J204+L204+K204,J204+K204))</f>
        <v>#VALUE!</v>
      </c>
      <c r="N204" s="160" t="e">
        <f ca="1">IF(G204="Всього:",SUM($N$4:N203),IF($E$5="UAH","",L204))</f>
        <v>#VALUE!</v>
      </c>
      <c r="O204" s="160" t="e">
        <f t="shared" ca="1" si="12"/>
        <v>#VALUE!</v>
      </c>
    </row>
    <row r="205" spans="6:15" x14ac:dyDescent="0.3">
      <c r="F205" s="160" t="e">
        <f t="shared" ca="1" si="13"/>
        <v>#VALUE!</v>
      </c>
      <c r="G205" s="160" t="e">
        <f t="shared" ca="1" si="15"/>
        <v>#VALUE!</v>
      </c>
      <c r="H205" s="160" t="str">
        <f t="shared" ca="1" si="14"/>
        <v/>
      </c>
      <c r="I205" s="160" t="e">
        <f ca="1">IF($G205="Всього:",SUM($I$4:I204),IF(AND(DAY($C$4)&gt;=15,H205=1),K205+L205,$C$32))</f>
        <v>#VALUE!</v>
      </c>
      <c r="J205" s="160" t="e">
        <f ca="1">IF($G205="Всього:",SUM($J$4:J204),IF(I205-SUM(K205:L205)&lt;0,0,I205-SUM(K205:L205)))</f>
        <v>#VALUE!</v>
      </c>
      <c r="K205" s="160" t="e">
        <f ca="1">IF(G205="Всього:",SUM($K$5:K204),IF(F205&lt;&gt;F204,(F205*O204/36000*(G205-CONCATENATE(DAY($C$4),".",MONTH(G204),".",YEAR(G204)))+(F204*O204/36000*(CONCATENATE(DAY($C$4),".",MONTH(G204),".",YEAR(G204))-G204))),F205*O204/36000*(G205-G204)))</f>
        <v>#VALUE!</v>
      </c>
      <c r="L205" s="160" t="e">
        <f ca="1">IF(G205="Всього:",SUM($L$5:L204),$E$4)</f>
        <v>#VALUE!</v>
      </c>
      <c r="M205" s="160" t="e">
        <f ca="1">IF(G205="Всього:",SUM($M$5:M204),IF($E$5="UAH",J205+L205+K205,J205+K205))</f>
        <v>#VALUE!</v>
      </c>
      <c r="N205" s="160" t="e">
        <f ca="1">IF(G205="Всього:",SUM($N$4:N204),IF($E$5="UAH","",L205))</f>
        <v>#VALUE!</v>
      </c>
      <c r="O205" s="160" t="e">
        <f t="shared" ca="1" si="12"/>
        <v>#VALUE!</v>
      </c>
    </row>
    <row r="206" spans="6:15" x14ac:dyDescent="0.3">
      <c r="F206" s="160" t="e">
        <f t="shared" ca="1" si="13"/>
        <v>#VALUE!</v>
      </c>
      <c r="G206" s="160" t="e">
        <f t="shared" ca="1" si="15"/>
        <v>#VALUE!</v>
      </c>
      <c r="H206" s="160" t="str">
        <f t="shared" ca="1" si="14"/>
        <v/>
      </c>
      <c r="I206" s="160" t="e">
        <f ca="1">IF($G206="Всього:",SUM($I$4:I205),IF(AND(DAY($C$4)&gt;=15,H206=1),K206+L206,$C$32))</f>
        <v>#VALUE!</v>
      </c>
      <c r="J206" s="160" t="e">
        <f ca="1">IF($G206="Всього:",SUM($J$4:J205),IF(I206-SUM(K206:L206)&lt;0,0,I206-SUM(K206:L206)))</f>
        <v>#VALUE!</v>
      </c>
      <c r="K206" s="160" t="e">
        <f ca="1">IF(G206="Всього:",SUM($K$5:K205),IF(F206&lt;&gt;F205,(F206*O205/36000*(G206-CONCATENATE(DAY($C$4),".",MONTH(G205),".",YEAR(G205)))+(F205*O205/36000*(CONCATENATE(DAY($C$4),".",MONTH(G205),".",YEAR(G205))-G205))),F206*O205/36000*(G206-G205)))</f>
        <v>#VALUE!</v>
      </c>
      <c r="L206" s="160" t="e">
        <f ca="1">IF(G206="Всього:",SUM($L$5:L205),$E$4)</f>
        <v>#VALUE!</v>
      </c>
      <c r="M206" s="160" t="e">
        <f ca="1">IF(G206="Всього:",SUM($M$5:M205),IF($E$5="UAH",J206+L206+K206,J206+K206))</f>
        <v>#VALUE!</v>
      </c>
      <c r="N206" s="160" t="e">
        <f ca="1">IF(G206="Всього:",SUM($N$4:N205),IF($E$5="UAH","",L206))</f>
        <v>#VALUE!</v>
      </c>
      <c r="O206" s="160" t="e">
        <f t="shared" ca="1" si="12"/>
        <v>#VALUE!</v>
      </c>
    </row>
    <row r="207" spans="6:15" x14ac:dyDescent="0.3">
      <c r="F207" s="160" t="e">
        <f t="shared" ca="1" si="13"/>
        <v>#VALUE!</v>
      </c>
      <c r="G207" s="160" t="e">
        <f t="shared" ca="1" si="15"/>
        <v>#VALUE!</v>
      </c>
      <c r="H207" s="160" t="str">
        <f t="shared" ca="1" si="14"/>
        <v/>
      </c>
      <c r="I207" s="160" t="e">
        <f ca="1">IF($G207="Всього:",SUM($I$4:I206),IF(AND(DAY($C$4)&gt;=15,H207=1),K207+L207,$C$32))</f>
        <v>#VALUE!</v>
      </c>
      <c r="J207" s="160" t="e">
        <f ca="1">IF($G207="Всього:",SUM($J$4:J206),IF(I207-SUM(K207:L207)&lt;0,0,I207-SUM(K207:L207)))</f>
        <v>#VALUE!</v>
      </c>
      <c r="K207" s="160" t="e">
        <f ca="1">IF(G207="Всього:",SUM($K$5:K206),IF(F207&lt;&gt;F206,(F207*O206/36000*(G207-CONCATENATE(DAY($C$4),".",MONTH(G206),".",YEAR(G206)))+(F206*O206/36000*(CONCATENATE(DAY($C$4),".",MONTH(G206),".",YEAR(G206))-G206))),F207*O206/36000*(G207-G206)))</f>
        <v>#VALUE!</v>
      </c>
      <c r="L207" s="160" t="e">
        <f ca="1">IF(G207="Всього:",SUM($L$5:L206),$E$4)</f>
        <v>#VALUE!</v>
      </c>
      <c r="M207" s="160" t="e">
        <f ca="1">IF(G207="Всього:",SUM($M$5:M206),IF($E$5="UAH",J207+L207+K207,J207+K207))</f>
        <v>#VALUE!</v>
      </c>
      <c r="N207" s="160" t="e">
        <f ca="1">IF(G207="Всього:",SUM($N$4:N206),IF($E$5="UAH","",L207))</f>
        <v>#VALUE!</v>
      </c>
      <c r="O207" s="160" t="e">
        <f t="shared" ca="1" si="12"/>
        <v>#VALUE!</v>
      </c>
    </row>
    <row r="208" spans="6:15" x14ac:dyDescent="0.3">
      <c r="F208" s="160" t="e">
        <f t="shared" ca="1" si="13"/>
        <v>#VALUE!</v>
      </c>
      <c r="G208" s="160" t="e">
        <f t="shared" ca="1" si="15"/>
        <v>#VALUE!</v>
      </c>
      <c r="H208" s="160" t="str">
        <f t="shared" ca="1" si="14"/>
        <v/>
      </c>
      <c r="I208" s="160" t="e">
        <f ca="1">IF($G208="Всього:",SUM($I$4:I207),IF(AND(DAY($C$4)&gt;=15,H208=1),K208+L208,$C$32))</f>
        <v>#VALUE!</v>
      </c>
      <c r="J208" s="160" t="e">
        <f ca="1">IF($G208="Всього:",SUM($J$4:J207),IF(I208-SUM(K208:L208)&lt;0,0,I208-SUM(K208:L208)))</f>
        <v>#VALUE!</v>
      </c>
      <c r="K208" s="160" t="e">
        <f ca="1">IF(G208="Всього:",SUM($K$5:K207),IF(F208&lt;&gt;F207,(F208*O207/36000*(G208-CONCATENATE(DAY($C$4),".",MONTH(G207),".",YEAR(G207)))+(F207*O207/36000*(CONCATENATE(DAY($C$4),".",MONTH(G207),".",YEAR(G207))-G207))),F208*O207/36000*(G208-G207)))</f>
        <v>#VALUE!</v>
      </c>
      <c r="L208" s="160" t="e">
        <f ca="1">IF(G208="Всього:",SUM($L$5:L207),$E$4)</f>
        <v>#VALUE!</v>
      </c>
      <c r="M208" s="160" t="e">
        <f ca="1">IF(G208="Всього:",SUM($M$5:M207),IF($E$5="UAH",J208+L208+K208,J208+K208))</f>
        <v>#VALUE!</v>
      </c>
      <c r="N208" s="160" t="e">
        <f ca="1">IF(G208="Всього:",SUM($N$4:N207),IF($E$5="UAH","",L208))</f>
        <v>#VALUE!</v>
      </c>
      <c r="O208" s="160" t="e">
        <f t="shared" ca="1" si="12"/>
        <v>#VALUE!</v>
      </c>
    </row>
    <row r="209" spans="6:15" x14ac:dyDescent="0.3">
      <c r="F209" s="160" t="e">
        <f t="shared" ca="1" si="13"/>
        <v>#VALUE!</v>
      </c>
      <c r="G209" s="160" t="e">
        <f t="shared" ca="1" si="15"/>
        <v>#VALUE!</v>
      </c>
      <c r="H209" s="160" t="str">
        <f t="shared" ca="1" si="14"/>
        <v/>
      </c>
      <c r="I209" s="160" t="e">
        <f ca="1">IF($G209="Всього:",SUM($I$4:I208),IF(AND(DAY($C$4)&gt;=15,H209=1),K209+L209,$C$32))</f>
        <v>#VALUE!</v>
      </c>
      <c r="J209" s="160" t="e">
        <f ca="1">IF($G209="Всього:",SUM($J$4:J208),IF(I209-SUM(K209:L209)&lt;0,0,I209-SUM(K209:L209)))</f>
        <v>#VALUE!</v>
      </c>
      <c r="K209" s="160" t="e">
        <f ca="1">IF(G209="Всього:",SUM($K$5:K208),IF(F209&lt;&gt;F208,(F209*O208/36000*(G209-CONCATENATE(DAY($C$4),".",MONTH(G208),".",YEAR(G208)))+(F208*O208/36000*(CONCATENATE(DAY($C$4),".",MONTH(G208),".",YEAR(G208))-G208))),F209*O208/36000*(G209-G208)))</f>
        <v>#VALUE!</v>
      </c>
      <c r="L209" s="160" t="e">
        <f ca="1">IF(G209="Всього:",SUM($L$5:L208),$E$4)</f>
        <v>#VALUE!</v>
      </c>
      <c r="M209" s="160" t="e">
        <f ca="1">IF(G209="Всього:",SUM($M$5:M208),IF($E$5="UAH",J209+L209+K209,J209+K209))</f>
        <v>#VALUE!</v>
      </c>
      <c r="N209" s="160" t="e">
        <f ca="1">IF(G209="Всього:",SUM($N$4:N208),IF($E$5="UAH","",L209))</f>
        <v>#VALUE!</v>
      </c>
      <c r="O209" s="160" t="e">
        <f t="shared" ca="1" si="12"/>
        <v>#VALUE!</v>
      </c>
    </row>
    <row r="210" spans="6:15" x14ac:dyDescent="0.3">
      <c r="F210" s="160" t="e">
        <f t="shared" ca="1" si="13"/>
        <v>#VALUE!</v>
      </c>
      <c r="G210" s="160" t="e">
        <f t="shared" ca="1" si="15"/>
        <v>#VALUE!</v>
      </c>
      <c r="H210" s="160" t="str">
        <f t="shared" ca="1" si="14"/>
        <v/>
      </c>
      <c r="I210" s="160" t="e">
        <f ca="1">IF($G210="Всього:",SUM($I$4:I209),IF(AND(DAY($C$4)&gt;=15,H210=1),K210+L210,$C$32))</f>
        <v>#VALUE!</v>
      </c>
      <c r="J210" s="160" t="e">
        <f ca="1">IF($G210="Всього:",SUM($J$4:J209),IF(I210-SUM(K210:L210)&lt;0,0,I210-SUM(K210:L210)))</f>
        <v>#VALUE!</v>
      </c>
      <c r="K210" s="160" t="e">
        <f ca="1">IF(G210="Всього:",SUM($K$5:K209),IF(F210&lt;&gt;F209,(F210*O209/36000*(G210-CONCATENATE(DAY($C$4),".",MONTH(G209),".",YEAR(G209)))+(F209*O209/36000*(CONCATENATE(DAY($C$4),".",MONTH(G209),".",YEAR(G209))-G209))),F210*O209/36000*(G210-G209)))</f>
        <v>#VALUE!</v>
      </c>
      <c r="L210" s="160" t="e">
        <f ca="1">IF(G210="Всього:",SUM($L$5:L209),$E$4)</f>
        <v>#VALUE!</v>
      </c>
      <c r="M210" s="160" t="e">
        <f ca="1">IF(G210="Всього:",SUM($M$5:M209),IF($E$5="UAH",J210+L210+K210,J210+K210))</f>
        <v>#VALUE!</v>
      </c>
      <c r="N210" s="160" t="e">
        <f ca="1">IF(G210="Всього:",SUM($N$4:N209),IF($E$5="UAH","",L210))</f>
        <v>#VALUE!</v>
      </c>
      <c r="O210" s="160" t="e">
        <f t="shared" ca="1" si="12"/>
        <v>#VALUE!</v>
      </c>
    </row>
    <row r="211" spans="6:15" x14ac:dyDescent="0.3">
      <c r="F211" s="160" t="e">
        <f t="shared" ca="1" si="13"/>
        <v>#VALUE!</v>
      </c>
      <c r="G211" s="160" t="e">
        <f t="shared" ca="1" si="15"/>
        <v>#VALUE!</v>
      </c>
      <c r="H211" s="160" t="str">
        <f t="shared" ca="1" si="14"/>
        <v/>
      </c>
      <c r="I211" s="160" t="e">
        <f ca="1">IF($G211="Всього:",SUM($I$4:I210),IF(AND(DAY($C$4)&gt;=15,H211=1),K211+L211,$C$32))</f>
        <v>#VALUE!</v>
      </c>
      <c r="J211" s="160" t="e">
        <f ca="1">IF($G211="Всього:",SUM($J$4:J210),IF(I211-SUM(K211:L211)&lt;0,0,I211-SUM(K211:L211)))</f>
        <v>#VALUE!</v>
      </c>
      <c r="K211" s="160" t="e">
        <f ca="1">IF(G211="Всього:",SUM($K$5:K210),IF(F211&lt;&gt;F210,(F211*O210/36000*(G211-CONCATENATE(DAY($C$4),".",MONTH(G210),".",YEAR(G210)))+(F210*O210/36000*(CONCATENATE(DAY($C$4),".",MONTH(G210),".",YEAR(G210))-G210))),F211*O210/36000*(G211-G210)))</f>
        <v>#VALUE!</v>
      </c>
      <c r="L211" s="160" t="e">
        <f ca="1">IF(G211="Всього:",SUM($L$5:L210),$E$4)</f>
        <v>#VALUE!</v>
      </c>
      <c r="M211" s="160" t="e">
        <f ca="1">IF(G211="Всього:",SUM($M$5:M210),IF($E$5="UAH",J211+L211+K211,J211+K211))</f>
        <v>#VALUE!</v>
      </c>
      <c r="N211" s="160" t="e">
        <f ca="1">IF(G211="Всього:",SUM($N$4:N210),IF($E$5="UAH","",L211))</f>
        <v>#VALUE!</v>
      </c>
      <c r="O211" s="160" t="e">
        <f t="shared" ca="1" si="12"/>
        <v>#VALUE!</v>
      </c>
    </row>
    <row r="212" spans="6:15" x14ac:dyDescent="0.3">
      <c r="F212" s="160" t="e">
        <f t="shared" ca="1" si="13"/>
        <v>#VALUE!</v>
      </c>
      <c r="G212" s="160" t="e">
        <f t="shared" ca="1" si="15"/>
        <v>#VALUE!</v>
      </c>
      <c r="H212" s="160" t="str">
        <f t="shared" ca="1" si="14"/>
        <v/>
      </c>
      <c r="I212" s="160" t="e">
        <f ca="1">IF($G212="Всього:",SUM($I$4:I211),IF(AND(DAY($C$4)&gt;=15,H212=1),K212+L212,$C$32))</f>
        <v>#VALUE!</v>
      </c>
      <c r="J212" s="160" t="e">
        <f ca="1">IF($G212="Всього:",SUM($J$4:J211),IF(I212-SUM(K212:L212)&lt;0,0,I212-SUM(K212:L212)))</f>
        <v>#VALUE!</v>
      </c>
      <c r="K212" s="160" t="e">
        <f ca="1">IF(G212="Всього:",SUM($K$5:K211),IF(F212&lt;&gt;F211,(F212*O211/36000*(G212-CONCATENATE(DAY($C$4),".",MONTH(G211),".",YEAR(G211)))+(F211*O211/36000*(CONCATENATE(DAY($C$4),".",MONTH(G211),".",YEAR(G211))-G211))),F212*O211/36000*(G212-G211)))</f>
        <v>#VALUE!</v>
      </c>
      <c r="L212" s="160" t="e">
        <f ca="1">IF(G212="Всього:",SUM($L$5:L211),$E$4)</f>
        <v>#VALUE!</v>
      </c>
      <c r="M212" s="160" t="e">
        <f ca="1">IF(G212="Всього:",SUM($M$5:M211),IF($E$5="UAH",J212+L212+K212,J212+K212))</f>
        <v>#VALUE!</v>
      </c>
      <c r="N212" s="160" t="e">
        <f ca="1">IF(G212="Всього:",SUM($N$4:N211),IF($E$5="UAH","",L212))</f>
        <v>#VALUE!</v>
      </c>
      <c r="O212" s="160" t="e">
        <f t="shared" ca="1" si="12"/>
        <v>#VALUE!</v>
      </c>
    </row>
    <row r="213" spans="6:15" x14ac:dyDescent="0.3">
      <c r="F213" s="160" t="e">
        <f t="shared" ca="1" si="13"/>
        <v>#VALUE!</v>
      </c>
      <c r="G213" s="160" t="e">
        <f t="shared" ca="1" si="15"/>
        <v>#VALUE!</v>
      </c>
      <c r="H213" s="160" t="str">
        <f t="shared" ca="1" si="14"/>
        <v/>
      </c>
      <c r="I213" s="160" t="e">
        <f ca="1">IF($G213="Всього:",SUM($I$4:I212),IF(AND(DAY($C$4)&gt;=15,H213=1),K213+L213,$C$32))</f>
        <v>#VALUE!</v>
      </c>
      <c r="J213" s="160" t="e">
        <f ca="1">IF($G213="Всього:",SUM($J$4:J212),IF(I213-SUM(K213:L213)&lt;0,0,I213-SUM(K213:L213)))</f>
        <v>#VALUE!</v>
      </c>
      <c r="K213" s="160" t="e">
        <f ca="1">IF(G213="Всього:",SUM($K$5:K212),IF(F213&lt;&gt;F212,(F213*O212/36000*(G213-CONCATENATE(DAY($C$4),".",MONTH(G212),".",YEAR(G212)))+(F212*O212/36000*(CONCATENATE(DAY($C$4),".",MONTH(G212),".",YEAR(G212))-G212))),F213*O212/36000*(G213-G212)))</f>
        <v>#VALUE!</v>
      </c>
      <c r="L213" s="160" t="e">
        <f ca="1">IF(G213="Всього:",SUM($L$5:L212),$E$4)</f>
        <v>#VALUE!</v>
      </c>
      <c r="M213" s="160" t="e">
        <f ca="1">IF(G213="Всього:",SUM($M$5:M212),IF($E$5="UAH",J213+L213+K213,J213+K213))</f>
        <v>#VALUE!</v>
      </c>
      <c r="N213" s="160" t="e">
        <f ca="1">IF(G213="Всього:",SUM($N$4:N212),IF($E$5="UAH","",L213))</f>
        <v>#VALUE!</v>
      </c>
      <c r="O213" s="160" t="e">
        <f t="shared" ca="1" si="12"/>
        <v>#VALUE!</v>
      </c>
    </row>
    <row r="214" spans="6:15" x14ac:dyDescent="0.3">
      <c r="F214" s="160" t="e">
        <f t="shared" ca="1" si="13"/>
        <v>#VALUE!</v>
      </c>
      <c r="G214" s="160" t="e">
        <f t="shared" ca="1" si="15"/>
        <v>#VALUE!</v>
      </c>
      <c r="H214" s="160" t="str">
        <f t="shared" ca="1" si="14"/>
        <v/>
      </c>
      <c r="I214" s="160" t="e">
        <f ca="1">IF($G214="Всього:",SUM($I$4:I213),IF(AND(DAY($C$4)&gt;=15,H214=1),K214+L214,$C$32))</f>
        <v>#VALUE!</v>
      </c>
      <c r="J214" s="160" t="e">
        <f ca="1">IF($G214="Всього:",SUM($J$4:J213),IF(I214-SUM(K214:L214)&lt;0,0,I214-SUM(K214:L214)))</f>
        <v>#VALUE!</v>
      </c>
      <c r="K214" s="160" t="e">
        <f ca="1">IF(G214="Всього:",SUM($K$5:K213),IF(F214&lt;&gt;F213,(F214*O213/36000*(G214-CONCATENATE(DAY($C$4),".",MONTH(G213),".",YEAR(G213)))+(F213*O213/36000*(CONCATENATE(DAY($C$4),".",MONTH(G213),".",YEAR(G213))-G213))),F214*O213/36000*(G214-G213)))</f>
        <v>#VALUE!</v>
      </c>
      <c r="L214" s="160" t="e">
        <f ca="1">IF(G214="Всього:",SUM($L$5:L213),$E$4)</f>
        <v>#VALUE!</v>
      </c>
      <c r="M214" s="160" t="e">
        <f ca="1">IF(G214="Всього:",SUM($M$5:M213),IF($E$5="UAH",J214+L214+K214,J214+K214))</f>
        <v>#VALUE!</v>
      </c>
      <c r="N214" s="160" t="e">
        <f ca="1">IF(G214="Всього:",SUM($N$4:N213),IF($E$5="UAH","",L214))</f>
        <v>#VALUE!</v>
      </c>
      <c r="O214" s="160" t="e">
        <f t="shared" ca="1" si="12"/>
        <v>#VALUE!</v>
      </c>
    </row>
    <row r="215" spans="6:15" x14ac:dyDescent="0.3">
      <c r="F215" s="160" t="e">
        <f t="shared" ca="1" si="13"/>
        <v>#VALUE!</v>
      </c>
      <c r="G215" s="160" t="e">
        <f t="shared" ca="1" si="15"/>
        <v>#VALUE!</v>
      </c>
      <c r="H215" s="160" t="str">
        <f t="shared" ca="1" si="14"/>
        <v/>
      </c>
      <c r="I215" s="160" t="e">
        <f ca="1">IF($G215="Всього:",SUM($I$4:I214),IF(AND(DAY($C$4)&gt;=15,H215=1),K215+L215,$C$32))</f>
        <v>#VALUE!</v>
      </c>
      <c r="J215" s="160" t="e">
        <f ca="1">IF($G215="Всього:",SUM($J$4:J214),IF(I215-SUM(K215:L215)&lt;0,0,I215-SUM(K215:L215)))</f>
        <v>#VALUE!</v>
      </c>
      <c r="K215" s="160" t="e">
        <f ca="1">IF(G215="Всього:",SUM($K$5:K214),IF(F215&lt;&gt;F214,(F215*O214/36000*(G215-CONCATENATE(DAY($C$4),".",MONTH(G214),".",YEAR(G214)))+(F214*O214/36000*(CONCATENATE(DAY($C$4),".",MONTH(G214),".",YEAR(G214))-G214))),F215*O214/36000*(G215-G214)))</f>
        <v>#VALUE!</v>
      </c>
      <c r="L215" s="160" t="e">
        <f ca="1">IF(G215="Всього:",SUM($L$5:L214),$E$4)</f>
        <v>#VALUE!</v>
      </c>
      <c r="M215" s="160" t="e">
        <f ca="1">IF(G215="Всього:",SUM($M$5:M214),IF($E$5="UAH",J215+L215+K215,J215+K215))</f>
        <v>#VALUE!</v>
      </c>
      <c r="N215" s="160" t="e">
        <f ca="1">IF(G215="Всього:",SUM($N$4:N214),IF($E$5="UAH","",L215))</f>
        <v>#VALUE!</v>
      </c>
      <c r="O215" s="160" t="e">
        <f t="shared" ca="1" si="12"/>
        <v>#VALUE!</v>
      </c>
    </row>
    <row r="216" spans="6:15" x14ac:dyDescent="0.3">
      <c r="F216" s="160" t="e">
        <f t="shared" ca="1" si="13"/>
        <v>#VALUE!</v>
      </c>
      <c r="G216" s="160" t="e">
        <f t="shared" ca="1" si="15"/>
        <v>#VALUE!</v>
      </c>
      <c r="H216" s="160" t="str">
        <f t="shared" ca="1" si="14"/>
        <v/>
      </c>
      <c r="I216" s="160" t="e">
        <f ca="1">IF($G216="Всього:",SUM($I$4:I215),IF(AND(DAY($C$4)&gt;=15,H216=1),K216+L216,$C$32))</f>
        <v>#VALUE!</v>
      </c>
      <c r="J216" s="160" t="e">
        <f ca="1">IF($G216="Всього:",SUM($J$4:J215),IF(I216-SUM(K216:L216)&lt;0,0,I216-SUM(K216:L216)))</f>
        <v>#VALUE!</v>
      </c>
      <c r="K216" s="160" t="e">
        <f ca="1">IF(G216="Всього:",SUM($K$5:K215),IF(F216&lt;&gt;F215,(F216*O215/36000*(G216-CONCATENATE(DAY($C$4),".",MONTH(G215),".",YEAR(G215)))+(F215*O215/36000*(CONCATENATE(DAY($C$4),".",MONTH(G215),".",YEAR(G215))-G215))),F216*O215/36000*(G216-G215)))</f>
        <v>#VALUE!</v>
      </c>
      <c r="L216" s="160" t="e">
        <f ca="1">IF(G216="Всього:",SUM($L$5:L215),$E$4)</f>
        <v>#VALUE!</v>
      </c>
      <c r="M216" s="160" t="e">
        <f ca="1">IF(G216="Всього:",SUM($M$5:M215),IF($E$5="UAH",J216+L216+K216,J216+K216))</f>
        <v>#VALUE!</v>
      </c>
      <c r="N216" s="160" t="e">
        <f ca="1">IF(G216="Всього:",SUM($N$4:N215),IF($E$5="UAH","",L216))</f>
        <v>#VALUE!</v>
      </c>
      <c r="O216" s="160" t="e">
        <f t="shared" ca="1" si="12"/>
        <v>#VALUE!</v>
      </c>
    </row>
    <row r="217" spans="6:15" x14ac:dyDescent="0.3">
      <c r="F217" s="160" t="e">
        <f t="shared" ca="1" si="13"/>
        <v>#VALUE!</v>
      </c>
      <c r="G217" s="160" t="e">
        <f t="shared" ca="1" si="15"/>
        <v>#VALUE!</v>
      </c>
      <c r="H217" s="160" t="str">
        <f t="shared" ca="1" si="14"/>
        <v/>
      </c>
      <c r="I217" s="160" t="e">
        <f ca="1">IF($G217="Всього:",SUM($I$4:I216),IF(AND(DAY($C$4)&gt;=15,H217=1),K217+L217,$C$32))</f>
        <v>#VALUE!</v>
      </c>
      <c r="J217" s="160" t="e">
        <f ca="1">IF($G217="Всього:",SUM($J$4:J216),IF(I217-SUM(K217:L217)&lt;0,0,I217-SUM(K217:L217)))</f>
        <v>#VALUE!</v>
      </c>
      <c r="K217" s="160" t="e">
        <f ca="1">IF(G217="Всього:",SUM($K$5:K216),IF(F217&lt;&gt;F216,(F217*O216/36000*(G217-CONCATENATE(DAY($C$4),".",MONTH(G216),".",YEAR(G216)))+(F216*O216/36000*(CONCATENATE(DAY($C$4),".",MONTH(G216),".",YEAR(G216))-G216))),F217*O216/36000*(G217-G216)))</f>
        <v>#VALUE!</v>
      </c>
      <c r="L217" s="160" t="e">
        <f ca="1">IF(G217="Всього:",SUM($L$5:L216),$E$4)</f>
        <v>#VALUE!</v>
      </c>
      <c r="M217" s="160" t="e">
        <f ca="1">IF(G217="Всього:",SUM($M$5:M216),IF($E$5="UAH",J217+L217+K217,J217+K217))</f>
        <v>#VALUE!</v>
      </c>
      <c r="N217" s="160" t="e">
        <f ca="1">IF(G217="Всього:",SUM($N$4:N216),IF($E$5="UAH","",L217))</f>
        <v>#VALUE!</v>
      </c>
      <c r="O217" s="160" t="e">
        <f t="shared" ca="1" si="12"/>
        <v>#VALUE!</v>
      </c>
    </row>
    <row r="218" spans="6:15" x14ac:dyDescent="0.3">
      <c r="F218" s="160" t="e">
        <f t="shared" ca="1" si="13"/>
        <v>#VALUE!</v>
      </c>
      <c r="G218" s="160" t="e">
        <f t="shared" ca="1" si="15"/>
        <v>#VALUE!</v>
      </c>
      <c r="H218" s="160" t="str">
        <f t="shared" ca="1" si="14"/>
        <v/>
      </c>
      <c r="I218" s="160" t="e">
        <f ca="1">IF($G218="Всього:",SUM($I$4:I217),IF(AND(DAY($C$4)&gt;=15,H218=1),K218+L218,$C$32))</f>
        <v>#VALUE!</v>
      </c>
      <c r="J218" s="160" t="e">
        <f ca="1">IF($G218="Всього:",SUM($J$4:J217),IF(I218-SUM(K218:L218)&lt;0,0,I218-SUM(K218:L218)))</f>
        <v>#VALUE!</v>
      </c>
      <c r="K218" s="160" t="e">
        <f ca="1">IF(G218="Всього:",SUM($K$5:K217),IF(F218&lt;&gt;F217,(F218*O217/36000*(G218-CONCATENATE(DAY($C$4),".",MONTH(G217),".",YEAR(G217)))+(F217*O217/36000*(CONCATENATE(DAY($C$4),".",MONTH(G217),".",YEAR(G217))-G217))),F218*O217/36000*(G218-G217)))</f>
        <v>#VALUE!</v>
      </c>
      <c r="L218" s="160" t="e">
        <f ca="1">IF(G218="Всього:",SUM($L$5:L217),$E$4)</f>
        <v>#VALUE!</v>
      </c>
      <c r="M218" s="160" t="e">
        <f ca="1">IF(G218="Всього:",SUM($M$5:M217),IF($E$5="UAH",J218+L218+K218,J218+K218))</f>
        <v>#VALUE!</v>
      </c>
      <c r="N218" s="160" t="e">
        <f ca="1">IF(G218="Всього:",SUM($N$4:N217),IF($E$5="UAH","",L218))</f>
        <v>#VALUE!</v>
      </c>
      <c r="O218" s="160" t="e">
        <f t="shared" ca="1" si="12"/>
        <v>#VALUE!</v>
      </c>
    </row>
    <row r="219" spans="6:15" x14ac:dyDescent="0.3">
      <c r="F219" s="160" t="e">
        <f t="shared" ca="1" si="13"/>
        <v>#VALUE!</v>
      </c>
      <c r="G219" s="160" t="e">
        <f t="shared" ca="1" si="15"/>
        <v>#VALUE!</v>
      </c>
      <c r="H219" s="160" t="str">
        <f t="shared" ca="1" si="14"/>
        <v/>
      </c>
      <c r="I219" s="160" t="e">
        <f ca="1">IF($G219="Всього:",SUM($I$4:I218),IF(AND(DAY($C$4)&gt;=15,H219=1),K219+L219,$C$32))</f>
        <v>#VALUE!</v>
      </c>
      <c r="J219" s="160" t="e">
        <f ca="1">IF($G219="Всього:",SUM($J$4:J218),IF(I219-SUM(K219:L219)&lt;0,0,I219-SUM(K219:L219)))</f>
        <v>#VALUE!</v>
      </c>
      <c r="K219" s="160" t="e">
        <f ca="1">IF(G219="Всього:",SUM($K$5:K218),IF(F219&lt;&gt;F218,(F219*O218/36000*(G219-CONCATENATE(DAY($C$4),".",MONTH(G218),".",YEAR(G218)))+(F218*O218/36000*(CONCATENATE(DAY($C$4),".",MONTH(G218),".",YEAR(G218))-G218))),F219*O218/36000*(G219-G218)))</f>
        <v>#VALUE!</v>
      </c>
      <c r="L219" s="160" t="e">
        <f ca="1">IF(G219="Всього:",SUM($L$5:L218),$E$4)</f>
        <v>#VALUE!</v>
      </c>
      <c r="M219" s="160" t="e">
        <f ca="1">IF(G219="Всього:",SUM($M$5:M218),IF($E$5="UAH",J219+L219+K219,J219+K219))</f>
        <v>#VALUE!</v>
      </c>
      <c r="N219" s="160" t="e">
        <f ca="1">IF(G219="Всього:",SUM($N$4:N218),IF($E$5="UAH","",L219))</f>
        <v>#VALUE!</v>
      </c>
      <c r="O219" s="160" t="e">
        <f t="shared" ca="1" si="12"/>
        <v>#VALUE!</v>
      </c>
    </row>
    <row r="220" spans="6:15" x14ac:dyDescent="0.3">
      <c r="F220" s="160" t="e">
        <f t="shared" ca="1" si="13"/>
        <v>#VALUE!</v>
      </c>
      <c r="G220" s="160" t="e">
        <f t="shared" ca="1" si="15"/>
        <v>#VALUE!</v>
      </c>
      <c r="H220" s="160" t="str">
        <f t="shared" ca="1" si="14"/>
        <v/>
      </c>
      <c r="I220" s="160" t="e">
        <f ca="1">IF($G220="Всього:",SUM($I$4:I219),IF(AND(DAY($C$4)&gt;=15,H220=1),K220+L220,$C$32))</f>
        <v>#VALUE!</v>
      </c>
      <c r="J220" s="160" t="e">
        <f ca="1">IF($G220="Всього:",SUM($J$4:J219),IF(I220-SUM(K220:L220)&lt;0,0,I220-SUM(K220:L220)))</f>
        <v>#VALUE!</v>
      </c>
      <c r="K220" s="160" t="e">
        <f ca="1">IF(G220="Всього:",SUM($K$5:K219),IF(F220&lt;&gt;F219,(F220*O219/36000*(G220-CONCATENATE(DAY($C$4),".",MONTH(G219),".",YEAR(G219)))+(F219*O219/36000*(CONCATENATE(DAY($C$4),".",MONTH(G219),".",YEAR(G219))-G219))),F220*O219/36000*(G220-G219)))</f>
        <v>#VALUE!</v>
      </c>
      <c r="L220" s="160" t="e">
        <f ca="1">IF(G220="Всього:",SUM($L$5:L219),$E$4)</f>
        <v>#VALUE!</v>
      </c>
      <c r="M220" s="160" t="e">
        <f ca="1">IF(G220="Всього:",SUM($M$5:M219),IF($E$5="UAH",J220+L220+K220,J220+K220))</f>
        <v>#VALUE!</v>
      </c>
      <c r="N220" s="160" t="e">
        <f ca="1">IF(G220="Всього:",SUM($N$4:N219),IF($E$5="UAH","",L220))</f>
        <v>#VALUE!</v>
      </c>
      <c r="O220" s="160" t="e">
        <f t="shared" ca="1" si="12"/>
        <v>#VALUE!</v>
      </c>
    </row>
    <row r="221" spans="6:15" x14ac:dyDescent="0.3">
      <c r="F221" s="160" t="e">
        <f t="shared" ca="1" si="13"/>
        <v>#VALUE!</v>
      </c>
      <c r="G221" s="160" t="e">
        <f t="shared" ca="1" si="15"/>
        <v>#VALUE!</v>
      </c>
      <c r="H221" s="160" t="str">
        <f t="shared" ca="1" si="14"/>
        <v/>
      </c>
      <c r="I221" s="160" t="e">
        <f ca="1">IF($G221="Всього:",SUM($I$4:I220),IF(AND(DAY($C$4)&gt;=15,H221=1),K221+L221,$C$32))</f>
        <v>#VALUE!</v>
      </c>
      <c r="J221" s="160" t="e">
        <f ca="1">IF($G221="Всього:",SUM($J$4:J220),IF(I221-SUM(K221:L221)&lt;0,0,I221-SUM(K221:L221)))</f>
        <v>#VALUE!</v>
      </c>
      <c r="K221" s="160" t="e">
        <f ca="1">IF(G221="Всього:",SUM($K$5:K220),IF(F221&lt;&gt;F220,(F221*O220/36000*(G221-CONCATENATE(DAY($C$4),".",MONTH(G220),".",YEAR(G220)))+(F220*O220/36000*(CONCATENATE(DAY($C$4),".",MONTH(G220),".",YEAR(G220))-G220))),F221*O220/36000*(G221-G220)))</f>
        <v>#VALUE!</v>
      </c>
      <c r="L221" s="160" t="e">
        <f ca="1">IF(G221="Всього:",SUM($L$5:L220),$E$4)</f>
        <v>#VALUE!</v>
      </c>
      <c r="M221" s="160" t="e">
        <f ca="1">IF(G221="Всього:",SUM($M$5:M220),IF($E$5="UAH",J221+L221+K221,J221+K221))</f>
        <v>#VALUE!</v>
      </c>
      <c r="N221" s="160" t="e">
        <f ca="1">IF(G221="Всього:",SUM($N$4:N220),IF($E$5="UAH","",L221))</f>
        <v>#VALUE!</v>
      </c>
      <c r="O221" s="160" t="e">
        <f t="shared" ca="1" si="12"/>
        <v>#VALUE!</v>
      </c>
    </row>
    <row r="222" spans="6:15" x14ac:dyDescent="0.3">
      <c r="F222" s="160" t="e">
        <f t="shared" ca="1" si="13"/>
        <v>#VALUE!</v>
      </c>
      <c r="G222" s="160" t="e">
        <f t="shared" ca="1" si="15"/>
        <v>#VALUE!</v>
      </c>
      <c r="H222" s="160" t="str">
        <f t="shared" ca="1" si="14"/>
        <v/>
      </c>
      <c r="I222" s="160" t="e">
        <f ca="1">IF($G222="Всього:",SUM($I$4:I221),IF(AND(DAY($C$4)&gt;=15,H222=1),K222+L222,$C$32))</f>
        <v>#VALUE!</v>
      </c>
      <c r="J222" s="160" t="e">
        <f ca="1">IF($G222="Всього:",SUM($J$4:J221),IF(I222-SUM(K222:L222)&lt;0,0,I222-SUM(K222:L222)))</f>
        <v>#VALUE!</v>
      </c>
      <c r="K222" s="160" t="e">
        <f ca="1">IF(G222="Всього:",SUM($K$5:K221),IF(F222&lt;&gt;F221,(F222*O221/36000*(G222-CONCATENATE(DAY($C$4),".",MONTH(G221),".",YEAR(G221)))+(F221*O221/36000*(CONCATENATE(DAY($C$4),".",MONTH(G221),".",YEAR(G221))-G221))),F222*O221/36000*(G222-G221)))</f>
        <v>#VALUE!</v>
      </c>
      <c r="L222" s="160" t="e">
        <f ca="1">IF(G222="Всього:",SUM($L$5:L221),$E$4)</f>
        <v>#VALUE!</v>
      </c>
      <c r="M222" s="160" t="e">
        <f ca="1">IF(G222="Всього:",SUM($M$5:M221),IF($E$5="UAH",J222+L222+K222,J222+K222))</f>
        <v>#VALUE!</v>
      </c>
      <c r="N222" s="160" t="e">
        <f ca="1">IF(G222="Всього:",SUM($N$4:N221),IF($E$5="UAH","",L222))</f>
        <v>#VALUE!</v>
      </c>
      <c r="O222" s="160" t="e">
        <f t="shared" ca="1" si="12"/>
        <v>#VALUE!</v>
      </c>
    </row>
    <row r="223" spans="6:15" x14ac:dyDescent="0.3">
      <c r="F223" s="160" t="e">
        <f t="shared" ca="1" si="13"/>
        <v>#VALUE!</v>
      </c>
      <c r="G223" s="160" t="e">
        <f t="shared" ca="1" si="15"/>
        <v>#VALUE!</v>
      </c>
      <c r="H223" s="160" t="str">
        <f t="shared" ca="1" si="14"/>
        <v/>
      </c>
      <c r="I223" s="160" t="e">
        <f ca="1">IF($G223="Всього:",SUM($I$4:I222),IF(AND(DAY($C$4)&gt;=15,H223=1),K223+L223,$C$32))</f>
        <v>#VALUE!</v>
      </c>
      <c r="J223" s="160" t="e">
        <f ca="1">IF($G223="Всього:",SUM($J$4:J222),IF(I223-SUM(K223:L223)&lt;0,0,I223-SUM(K223:L223)))</f>
        <v>#VALUE!</v>
      </c>
      <c r="K223" s="160" t="e">
        <f ca="1">IF(G223="Всього:",SUM($K$5:K222),IF(F223&lt;&gt;F222,(F223*O222/36000*(G223-CONCATENATE(DAY($C$4),".",MONTH(G222),".",YEAR(G222)))+(F222*O222/36000*(CONCATENATE(DAY($C$4),".",MONTH(G222),".",YEAR(G222))-G222))),F223*O222/36000*(G223-G222)))</f>
        <v>#VALUE!</v>
      </c>
      <c r="L223" s="160" t="e">
        <f ca="1">IF(G223="Всього:",SUM($L$5:L222),$E$4)</f>
        <v>#VALUE!</v>
      </c>
      <c r="M223" s="160" t="e">
        <f ca="1">IF(G223="Всього:",SUM($M$5:M222),IF($E$5="UAH",J223+L223+K223,J223+K223))</f>
        <v>#VALUE!</v>
      </c>
      <c r="N223" s="160" t="e">
        <f ca="1">IF(G223="Всього:",SUM($N$4:N222),IF($E$5="UAH","",L223))</f>
        <v>#VALUE!</v>
      </c>
      <c r="O223" s="160" t="e">
        <f t="shared" ca="1" si="12"/>
        <v>#VALUE!</v>
      </c>
    </row>
    <row r="224" spans="6:15" x14ac:dyDescent="0.3">
      <c r="F224" s="160" t="e">
        <f t="shared" ca="1" si="13"/>
        <v>#VALUE!</v>
      </c>
      <c r="G224" s="160" t="e">
        <f t="shared" ca="1" si="15"/>
        <v>#VALUE!</v>
      </c>
      <c r="H224" s="160" t="str">
        <f t="shared" ca="1" si="14"/>
        <v/>
      </c>
      <c r="I224" s="160" t="e">
        <f ca="1">IF($G224="Всього:",SUM($I$4:I223),IF(AND(DAY($C$4)&gt;=15,H224=1),K224+L224,$C$32))</f>
        <v>#VALUE!</v>
      </c>
      <c r="J224" s="160" t="e">
        <f ca="1">IF($G224="Всього:",SUM($J$4:J223),IF(I224-SUM(K224:L224)&lt;0,0,I224-SUM(K224:L224)))</f>
        <v>#VALUE!</v>
      </c>
      <c r="K224" s="160" t="e">
        <f ca="1">IF(G224="Всього:",SUM($K$5:K223),IF(F224&lt;&gt;F223,(F224*O223/36000*(G224-CONCATENATE(DAY($C$4),".",MONTH(G223),".",YEAR(G223)))+(F223*O223/36000*(CONCATENATE(DAY($C$4),".",MONTH(G223),".",YEAR(G223))-G223))),F224*O223/36000*(G224-G223)))</f>
        <v>#VALUE!</v>
      </c>
      <c r="L224" s="160" t="e">
        <f ca="1">IF(G224="Всього:",SUM($L$5:L223),$E$4)</f>
        <v>#VALUE!</v>
      </c>
      <c r="M224" s="160" t="e">
        <f ca="1">IF(G224="Всього:",SUM($M$5:M223),IF($E$5="UAH",J224+L224+K224,J224+K224))</f>
        <v>#VALUE!</v>
      </c>
      <c r="N224" s="160" t="e">
        <f ca="1">IF(G224="Всього:",SUM($N$4:N223),IF($E$5="UAH","",L224))</f>
        <v>#VALUE!</v>
      </c>
      <c r="O224" s="160" t="e">
        <f t="shared" ca="1" si="12"/>
        <v>#VALUE!</v>
      </c>
    </row>
    <row r="225" spans="6:15" x14ac:dyDescent="0.3">
      <c r="F225" s="160" t="e">
        <f t="shared" ca="1" si="13"/>
        <v>#VALUE!</v>
      </c>
      <c r="G225" s="160" t="e">
        <f t="shared" ca="1" si="15"/>
        <v>#VALUE!</v>
      </c>
      <c r="H225" s="160" t="str">
        <f t="shared" ca="1" si="14"/>
        <v/>
      </c>
      <c r="I225" s="160" t="e">
        <f ca="1">IF($G225="Всього:",SUM($I$4:I224),IF(AND(DAY($C$4)&gt;=15,H225=1),K225+L225,$C$32))</f>
        <v>#VALUE!</v>
      </c>
      <c r="J225" s="160" t="e">
        <f ca="1">IF($G225="Всього:",SUM($J$4:J224),IF(I225-SUM(K225:L225)&lt;0,0,I225-SUM(K225:L225)))</f>
        <v>#VALUE!</v>
      </c>
      <c r="K225" s="160" t="e">
        <f ca="1">IF(G225="Всього:",SUM($K$5:K224),IF(F225&lt;&gt;F224,(F225*O224/36000*(G225-CONCATENATE(DAY($C$4),".",MONTH(G224),".",YEAR(G224)))+(F224*O224/36000*(CONCATENATE(DAY($C$4),".",MONTH(G224),".",YEAR(G224))-G224))),F225*O224/36000*(G225-G224)))</f>
        <v>#VALUE!</v>
      </c>
      <c r="L225" s="160" t="e">
        <f ca="1">IF(G225="Всього:",SUM($L$5:L224),$E$4)</f>
        <v>#VALUE!</v>
      </c>
      <c r="M225" s="160" t="e">
        <f ca="1">IF(G225="Всього:",SUM($M$5:M224),IF($E$5="UAH",J225+L225+K225,J225+K225))</f>
        <v>#VALUE!</v>
      </c>
      <c r="N225" s="160" t="e">
        <f ca="1">IF(G225="Всього:",SUM($N$4:N224),IF($E$5="UAH","",L225))</f>
        <v>#VALUE!</v>
      </c>
      <c r="O225" s="160" t="e">
        <f t="shared" ca="1" si="12"/>
        <v>#VALUE!</v>
      </c>
    </row>
    <row r="226" spans="6:15" x14ac:dyDescent="0.3">
      <c r="F226" s="160" t="e">
        <f t="shared" ca="1" si="13"/>
        <v>#VALUE!</v>
      </c>
      <c r="G226" s="160" t="e">
        <f t="shared" ca="1" si="15"/>
        <v>#VALUE!</v>
      </c>
      <c r="H226" s="160" t="str">
        <f t="shared" ca="1" si="14"/>
        <v/>
      </c>
      <c r="I226" s="160" t="e">
        <f ca="1">IF($G226="Всього:",SUM($I$4:I225),IF(AND(DAY($C$4)&gt;=15,H226=1),K226+L226,$C$32))</f>
        <v>#VALUE!</v>
      </c>
      <c r="J226" s="160" t="e">
        <f ca="1">IF($G226="Всього:",SUM($J$4:J225),IF(I226-SUM(K226:L226)&lt;0,0,I226-SUM(K226:L226)))</f>
        <v>#VALUE!</v>
      </c>
      <c r="K226" s="160" t="e">
        <f ca="1">IF(G226="Всього:",SUM($K$5:K225),IF(F226&lt;&gt;F225,(F226*O225/36000*(G226-CONCATENATE(DAY($C$4),".",MONTH(G225),".",YEAR(G225)))+(F225*O225/36000*(CONCATENATE(DAY($C$4),".",MONTH(G225),".",YEAR(G225))-G225))),F226*O225/36000*(G226-G225)))</f>
        <v>#VALUE!</v>
      </c>
      <c r="L226" s="160" t="e">
        <f ca="1">IF(G226="Всього:",SUM($L$5:L225),$E$4)</f>
        <v>#VALUE!</v>
      </c>
      <c r="M226" s="160" t="e">
        <f ca="1">IF(G226="Всього:",SUM($M$5:M225),IF($E$5="UAH",J226+L226+K226,J226+K226))</f>
        <v>#VALUE!</v>
      </c>
      <c r="N226" s="160" t="e">
        <f ca="1">IF(G226="Всього:",SUM($N$4:N225),IF($E$5="UAH","",L226))</f>
        <v>#VALUE!</v>
      </c>
      <c r="O226" s="160" t="e">
        <f t="shared" ca="1" si="12"/>
        <v>#VALUE!</v>
      </c>
    </row>
    <row r="227" spans="6:15" x14ac:dyDescent="0.3">
      <c r="F227" s="160" t="e">
        <f t="shared" ca="1" si="13"/>
        <v>#VALUE!</v>
      </c>
      <c r="G227" s="160" t="e">
        <f t="shared" ca="1" si="15"/>
        <v>#VALUE!</v>
      </c>
      <c r="H227" s="160" t="str">
        <f t="shared" ca="1" si="14"/>
        <v/>
      </c>
      <c r="I227" s="160" t="e">
        <f ca="1">IF($G227="Всього:",SUM($I$4:I226),IF(AND(DAY($C$4)&gt;=15,H227=1),K227+L227,$C$32))</f>
        <v>#VALUE!</v>
      </c>
      <c r="J227" s="160" t="e">
        <f ca="1">IF($G227="Всього:",SUM($J$4:J226),IF(I227-SUM(K227:L227)&lt;0,0,I227-SUM(K227:L227)))</f>
        <v>#VALUE!</v>
      </c>
      <c r="K227" s="160" t="e">
        <f ca="1">IF(G227="Всього:",SUM($K$5:K226),IF(F227&lt;&gt;F226,(F227*O226/36000*(G227-CONCATENATE(DAY($C$4),".",MONTH(G226),".",YEAR(G226)))+(F226*O226/36000*(CONCATENATE(DAY($C$4),".",MONTH(G226),".",YEAR(G226))-G226))),F227*O226/36000*(G227-G226)))</f>
        <v>#VALUE!</v>
      </c>
      <c r="L227" s="160" t="e">
        <f ca="1">IF(G227="Всього:",SUM($L$5:L226),$E$4)</f>
        <v>#VALUE!</v>
      </c>
      <c r="M227" s="160" t="e">
        <f ca="1">IF(G227="Всього:",SUM($M$5:M226),IF($E$5="UAH",J227+L227+K227,J227+K227))</f>
        <v>#VALUE!</v>
      </c>
      <c r="N227" s="160" t="e">
        <f ca="1">IF(G227="Всього:",SUM($N$4:N226),IF($E$5="UAH","",L227))</f>
        <v>#VALUE!</v>
      </c>
      <c r="O227" s="160" t="e">
        <f t="shared" ca="1" si="12"/>
        <v>#VALUE!</v>
      </c>
    </row>
    <row r="228" spans="6:15" x14ac:dyDescent="0.3">
      <c r="F228" s="160" t="e">
        <f t="shared" ca="1" si="13"/>
        <v>#VALUE!</v>
      </c>
      <c r="G228" s="160" t="e">
        <f t="shared" ca="1" si="15"/>
        <v>#VALUE!</v>
      </c>
      <c r="H228" s="160" t="str">
        <f t="shared" ca="1" si="14"/>
        <v/>
      </c>
      <c r="I228" s="160" t="e">
        <f ca="1">IF($G228="Всього:",SUM($I$4:I227),IF(AND(DAY($C$4)&gt;=15,H228=1),K228+L228,$C$32))</f>
        <v>#VALUE!</v>
      </c>
      <c r="J228" s="160" t="e">
        <f ca="1">IF($G228="Всього:",SUM($J$4:J227),IF(I228-SUM(K228:L228)&lt;0,0,I228-SUM(K228:L228)))</f>
        <v>#VALUE!</v>
      </c>
      <c r="K228" s="160" t="e">
        <f ca="1">IF(G228="Всього:",SUM($K$5:K227),IF(F228&lt;&gt;F227,(F228*O227/36000*(G228-CONCATENATE(DAY($C$4),".",MONTH(G227),".",YEAR(G227)))+(F227*O227/36000*(CONCATENATE(DAY($C$4),".",MONTH(G227),".",YEAR(G227))-G227))),F228*O227/36000*(G228-G227)))</f>
        <v>#VALUE!</v>
      </c>
      <c r="L228" s="160" t="e">
        <f ca="1">IF(G228="Всього:",SUM($L$5:L227),$E$4)</f>
        <v>#VALUE!</v>
      </c>
      <c r="M228" s="160" t="e">
        <f ca="1">IF(G228="Всього:",SUM($M$5:M227),IF($E$5="UAH",J228+L228+K228,J228+K228))</f>
        <v>#VALUE!</v>
      </c>
      <c r="N228" s="160" t="e">
        <f ca="1">IF(G228="Всього:",SUM($N$4:N227),IF($E$5="UAH","",L228))</f>
        <v>#VALUE!</v>
      </c>
      <c r="O228" s="160" t="e">
        <f t="shared" ca="1" si="12"/>
        <v>#VALUE!</v>
      </c>
    </row>
    <row r="229" spans="6:15" x14ac:dyDescent="0.3">
      <c r="F229" s="160" t="e">
        <f t="shared" ca="1" si="13"/>
        <v>#VALUE!</v>
      </c>
      <c r="G229" s="160" t="e">
        <f t="shared" ca="1" si="15"/>
        <v>#VALUE!</v>
      </c>
      <c r="H229" s="160" t="str">
        <f t="shared" ca="1" si="14"/>
        <v/>
      </c>
      <c r="I229" s="160" t="e">
        <f ca="1">IF($G229="Всього:",SUM($I$4:I228),IF(AND(DAY($C$4)&gt;=15,H229=1),K229+L229,$C$32))</f>
        <v>#VALUE!</v>
      </c>
      <c r="J229" s="160" t="e">
        <f ca="1">IF($G229="Всього:",SUM($J$4:J228),IF(I229-SUM(K229:L229)&lt;0,0,I229-SUM(K229:L229)))</f>
        <v>#VALUE!</v>
      </c>
      <c r="K229" s="160" t="e">
        <f ca="1">IF(G229="Всього:",SUM($K$5:K228),IF(F229&lt;&gt;F228,(F229*O228/36000*(G229-CONCATENATE(DAY($C$4),".",MONTH(G228),".",YEAR(G228)))+(F228*O228/36000*(CONCATENATE(DAY($C$4),".",MONTH(G228),".",YEAR(G228))-G228))),F229*O228/36000*(G229-G228)))</f>
        <v>#VALUE!</v>
      </c>
      <c r="L229" s="160" t="e">
        <f ca="1">IF(G229="Всього:",SUM($L$5:L228),$E$4)</f>
        <v>#VALUE!</v>
      </c>
      <c r="M229" s="160" t="e">
        <f ca="1">IF(G229="Всього:",SUM($M$5:M228),IF($E$5="UAH",J229+L229+K229,J229+K229))</f>
        <v>#VALUE!</v>
      </c>
      <c r="N229" s="160" t="e">
        <f ca="1">IF(G229="Всього:",SUM($N$4:N228),IF($E$5="UAH","",L229))</f>
        <v>#VALUE!</v>
      </c>
      <c r="O229" s="160" t="e">
        <f t="shared" ca="1" si="12"/>
        <v>#VALUE!</v>
      </c>
    </row>
    <row r="230" spans="6:15" x14ac:dyDescent="0.3">
      <c r="F230" s="160" t="e">
        <f t="shared" ca="1" si="13"/>
        <v>#VALUE!</v>
      </c>
      <c r="G230" s="160" t="e">
        <f t="shared" ca="1" si="15"/>
        <v>#VALUE!</v>
      </c>
      <c r="H230" s="160" t="str">
        <f t="shared" ca="1" si="14"/>
        <v/>
      </c>
      <c r="I230" s="160" t="e">
        <f ca="1">IF($G230="Всього:",SUM($I$4:I229),IF(AND(DAY($C$4)&gt;=15,H230=1),K230+L230,$C$32))</f>
        <v>#VALUE!</v>
      </c>
      <c r="J230" s="160" t="e">
        <f ca="1">IF($G230="Всього:",SUM($J$4:J229),IF(I230-SUM(K230:L230)&lt;0,0,I230-SUM(K230:L230)))</f>
        <v>#VALUE!</v>
      </c>
      <c r="K230" s="160" t="e">
        <f ca="1">IF(G230="Всього:",SUM($K$5:K229),IF(F230&lt;&gt;F229,(F230*O229/36000*(G230-CONCATENATE(DAY($C$4),".",MONTH(G229),".",YEAR(G229)))+(F229*O229/36000*(CONCATENATE(DAY($C$4),".",MONTH(G229),".",YEAR(G229))-G229))),F230*O229/36000*(G230-G229)))</f>
        <v>#VALUE!</v>
      </c>
      <c r="L230" s="160" t="e">
        <f ca="1">IF(G230="Всього:",SUM($L$5:L229),$E$4)</f>
        <v>#VALUE!</v>
      </c>
      <c r="M230" s="160" t="e">
        <f ca="1">IF(G230="Всього:",SUM($M$5:M229),IF($E$5="UAH",J230+L230+K230,J230+K230))</f>
        <v>#VALUE!</v>
      </c>
      <c r="N230" s="160" t="e">
        <f ca="1">IF(G230="Всього:",SUM($N$4:N229),IF($E$5="UAH","",L230))</f>
        <v>#VALUE!</v>
      </c>
      <c r="O230" s="160" t="e">
        <f t="shared" ca="1" si="12"/>
        <v>#VALUE!</v>
      </c>
    </row>
    <row r="231" spans="6:15" x14ac:dyDescent="0.3">
      <c r="F231" s="160" t="e">
        <f t="shared" ca="1" si="13"/>
        <v>#VALUE!</v>
      </c>
      <c r="G231" s="160" t="e">
        <f t="shared" ca="1" si="15"/>
        <v>#VALUE!</v>
      </c>
      <c r="H231" s="160" t="str">
        <f t="shared" ca="1" si="14"/>
        <v/>
      </c>
      <c r="I231" s="160" t="e">
        <f ca="1">IF($G231="Всього:",SUM($I$4:I230),IF(AND(DAY($C$4)&gt;=15,H231=1),K231+L231,$C$32))</f>
        <v>#VALUE!</v>
      </c>
      <c r="J231" s="160" t="e">
        <f ca="1">IF($G231="Всього:",SUM($J$4:J230),IF(I231-SUM(K231:L231)&lt;0,0,I231-SUM(K231:L231)))</f>
        <v>#VALUE!</v>
      </c>
      <c r="K231" s="160" t="e">
        <f ca="1">IF(G231="Всього:",SUM($K$5:K230),IF(F231&lt;&gt;F230,(F231*O230/36000*(G231-CONCATENATE(DAY($C$4),".",MONTH(G230),".",YEAR(G230)))+(F230*O230/36000*(CONCATENATE(DAY($C$4),".",MONTH(G230),".",YEAR(G230))-G230))),F231*O230/36000*(G231-G230)))</f>
        <v>#VALUE!</v>
      </c>
      <c r="L231" s="160" t="e">
        <f ca="1">IF(G231="Всього:",SUM($L$5:L230),$E$4)</f>
        <v>#VALUE!</v>
      </c>
      <c r="M231" s="160" t="e">
        <f ca="1">IF(G231="Всього:",SUM($M$5:M230),IF($E$5="UAH",J231+L231+K231,J231+K231))</f>
        <v>#VALUE!</v>
      </c>
      <c r="N231" s="160" t="e">
        <f ca="1">IF(G231="Всього:",SUM($N$4:N230),IF($E$5="UAH","",L231))</f>
        <v>#VALUE!</v>
      </c>
      <c r="O231" s="160" t="e">
        <f t="shared" ca="1" si="12"/>
        <v>#VALUE!</v>
      </c>
    </row>
    <row r="232" spans="6:15" x14ac:dyDescent="0.3">
      <c r="F232" s="160" t="e">
        <f t="shared" ca="1" si="13"/>
        <v>#VALUE!</v>
      </c>
      <c r="G232" s="160" t="e">
        <f t="shared" ca="1" si="15"/>
        <v>#VALUE!</v>
      </c>
      <c r="H232" s="160" t="str">
        <f t="shared" ca="1" si="14"/>
        <v/>
      </c>
      <c r="I232" s="160" t="e">
        <f ca="1">IF($G232="Всього:",SUM($I$4:I231),IF(AND(DAY($C$4)&gt;=15,H232=1),K232+L232,$C$32))</f>
        <v>#VALUE!</v>
      </c>
      <c r="J232" s="160" t="e">
        <f ca="1">IF($G232="Всього:",SUM($J$4:J231),IF(I232-SUM(K232:L232)&lt;0,0,I232-SUM(K232:L232)))</f>
        <v>#VALUE!</v>
      </c>
      <c r="K232" s="160" t="e">
        <f ca="1">IF(G232="Всього:",SUM($K$5:K231),IF(F232&lt;&gt;F231,(F232*O231/36000*(G232-CONCATENATE(DAY($C$4),".",MONTH(G231),".",YEAR(G231)))+(F231*O231/36000*(CONCATENATE(DAY($C$4),".",MONTH(G231),".",YEAR(G231))-G231))),F232*O231/36000*(G232-G231)))</f>
        <v>#VALUE!</v>
      </c>
      <c r="L232" s="160" t="e">
        <f ca="1">IF(G232="Всього:",SUM($L$5:L231),$E$4)</f>
        <v>#VALUE!</v>
      </c>
      <c r="M232" s="160" t="e">
        <f ca="1">IF(G232="Всього:",SUM($M$5:M231),IF($E$5="UAH",J232+L232+K232,J232+K232))</f>
        <v>#VALUE!</v>
      </c>
      <c r="N232" s="160" t="e">
        <f ca="1">IF(G232="Всього:",SUM($N$4:N231),IF($E$5="UAH","",L232))</f>
        <v>#VALUE!</v>
      </c>
      <c r="O232" s="160" t="e">
        <f t="shared" ca="1" si="12"/>
        <v>#VALUE!</v>
      </c>
    </row>
    <row r="233" spans="6:15" x14ac:dyDescent="0.3">
      <c r="F233" s="160" t="e">
        <f t="shared" ca="1" si="13"/>
        <v>#VALUE!</v>
      </c>
      <c r="G233" s="160" t="e">
        <f t="shared" ca="1" si="15"/>
        <v>#VALUE!</v>
      </c>
      <c r="H233" s="160" t="str">
        <f t="shared" ca="1" si="14"/>
        <v/>
      </c>
      <c r="I233" s="160" t="e">
        <f ca="1">IF($G233="Всього:",SUM($I$4:I232),IF(AND(DAY($C$4)&gt;=15,H233=1),K233+L233,$C$32))</f>
        <v>#VALUE!</v>
      </c>
      <c r="J233" s="160" t="e">
        <f ca="1">IF($G233="Всього:",SUM($J$4:J232),IF(I233-SUM(K233:L233)&lt;0,0,I233-SUM(K233:L233)))</f>
        <v>#VALUE!</v>
      </c>
      <c r="K233" s="160" t="e">
        <f ca="1">IF(G233="Всього:",SUM($K$5:K232),IF(F233&lt;&gt;F232,(F233*O232/36000*(G233-CONCATENATE(DAY($C$4),".",MONTH(G232),".",YEAR(G232)))+(F232*O232/36000*(CONCATENATE(DAY($C$4),".",MONTH(G232),".",YEAR(G232))-G232))),F233*O232/36000*(G233-G232)))</f>
        <v>#VALUE!</v>
      </c>
      <c r="L233" s="160" t="e">
        <f ca="1">IF(G233="Всього:",SUM($L$5:L232),$E$4)</f>
        <v>#VALUE!</v>
      </c>
      <c r="M233" s="160" t="e">
        <f ca="1">IF(G233="Всього:",SUM($M$5:M232),IF($E$5="UAH",J233+L233+K233,J233+K233))</f>
        <v>#VALUE!</v>
      </c>
      <c r="N233" s="160" t="e">
        <f ca="1">IF(G233="Всього:",SUM($N$4:N232),IF($E$5="UAH","",L233))</f>
        <v>#VALUE!</v>
      </c>
      <c r="O233" s="160" t="e">
        <f t="shared" ca="1" si="12"/>
        <v>#VALUE!</v>
      </c>
    </row>
    <row r="234" spans="6:15" x14ac:dyDescent="0.3">
      <c r="F234" s="160" t="e">
        <f t="shared" ca="1" si="13"/>
        <v>#VALUE!</v>
      </c>
      <c r="G234" s="160" t="e">
        <f t="shared" ca="1" si="15"/>
        <v>#VALUE!</v>
      </c>
      <c r="H234" s="160" t="str">
        <f t="shared" ca="1" si="14"/>
        <v/>
      </c>
      <c r="I234" s="160" t="e">
        <f ca="1">IF($G234="Всього:",SUM($I$4:I233),IF(AND(DAY($C$4)&gt;=15,H234=1),K234+L234,$C$32))</f>
        <v>#VALUE!</v>
      </c>
      <c r="J234" s="160" t="e">
        <f ca="1">IF($G234="Всього:",SUM($J$4:J233),IF(I234-SUM(K234:L234)&lt;0,0,I234-SUM(K234:L234)))</f>
        <v>#VALUE!</v>
      </c>
      <c r="K234" s="160" t="e">
        <f ca="1">IF(G234="Всього:",SUM($K$5:K233),IF(F234&lt;&gt;F233,(F234*O233/36000*(G234-CONCATENATE(DAY($C$4),".",MONTH(G233),".",YEAR(G233)))+(F233*O233/36000*(CONCATENATE(DAY($C$4),".",MONTH(G233),".",YEAR(G233))-G233))),F234*O233/36000*(G234-G233)))</f>
        <v>#VALUE!</v>
      </c>
      <c r="L234" s="160" t="e">
        <f ca="1">IF(G234="Всього:",SUM($L$5:L233),$E$4)</f>
        <v>#VALUE!</v>
      </c>
      <c r="M234" s="160" t="e">
        <f ca="1">IF(G234="Всього:",SUM($M$5:M233),IF($E$5="UAH",J234+L234+K234,J234+K234))</f>
        <v>#VALUE!</v>
      </c>
      <c r="N234" s="160" t="e">
        <f ca="1">IF(G234="Всього:",SUM($N$4:N233),IF($E$5="UAH","",L234))</f>
        <v>#VALUE!</v>
      </c>
      <c r="O234" s="160" t="e">
        <f t="shared" ca="1" si="12"/>
        <v>#VALUE!</v>
      </c>
    </row>
    <row r="235" spans="6:15" x14ac:dyDescent="0.3">
      <c r="F235" s="160" t="e">
        <f t="shared" ca="1" si="13"/>
        <v>#VALUE!</v>
      </c>
      <c r="G235" s="160" t="e">
        <f t="shared" ca="1" si="15"/>
        <v>#VALUE!</v>
      </c>
      <c r="H235" s="160" t="str">
        <f t="shared" ca="1" si="14"/>
        <v/>
      </c>
      <c r="I235" s="160" t="e">
        <f ca="1">IF($G235="Всього:",SUM($I$4:I234),IF(AND(DAY($C$4)&gt;=15,H235=1),K235+L235,$C$32))</f>
        <v>#VALUE!</v>
      </c>
      <c r="J235" s="160" t="e">
        <f ca="1">IF($G235="Всього:",SUM($J$4:J234),IF(I235-SUM(K235:L235)&lt;0,0,I235-SUM(K235:L235)))</f>
        <v>#VALUE!</v>
      </c>
      <c r="K235" s="160" t="e">
        <f ca="1">IF(G235="Всього:",SUM($K$5:K234),IF(F235&lt;&gt;F234,(F235*O234/36000*(G235-CONCATENATE(DAY($C$4),".",MONTH(G234),".",YEAR(G234)))+(F234*O234/36000*(CONCATENATE(DAY($C$4),".",MONTH(G234),".",YEAR(G234))-G234))),F235*O234/36000*(G235-G234)))</f>
        <v>#VALUE!</v>
      </c>
      <c r="L235" s="160" t="e">
        <f ca="1">IF(G235="Всього:",SUM($L$5:L234),$E$4)</f>
        <v>#VALUE!</v>
      </c>
      <c r="M235" s="160" t="e">
        <f ca="1">IF(G235="Всього:",SUM($M$5:M234),IF($E$5="UAH",J235+L235+K235,J235+K235))</f>
        <v>#VALUE!</v>
      </c>
      <c r="N235" s="160" t="e">
        <f ca="1">IF(G235="Всього:",SUM($N$4:N234),IF($E$5="UAH","",L235))</f>
        <v>#VALUE!</v>
      </c>
      <c r="O235" s="160" t="e">
        <f t="shared" ca="1" si="12"/>
        <v>#VALUE!</v>
      </c>
    </row>
    <row r="236" spans="6:15" x14ac:dyDescent="0.3">
      <c r="F236" s="160" t="e">
        <f t="shared" ca="1" si="13"/>
        <v>#VALUE!</v>
      </c>
      <c r="G236" s="160" t="e">
        <f t="shared" ca="1" si="15"/>
        <v>#VALUE!</v>
      </c>
      <c r="H236" s="160" t="str">
        <f t="shared" ca="1" si="14"/>
        <v/>
      </c>
      <c r="I236" s="160" t="e">
        <f ca="1">IF($G236="Всього:",SUM($I$4:I235),IF(AND(DAY($C$4)&gt;=15,H236=1),K236+L236,$C$32))</f>
        <v>#VALUE!</v>
      </c>
      <c r="J236" s="160" t="e">
        <f ca="1">IF($G236="Всього:",SUM($J$4:J235),IF(I236-SUM(K236:L236)&lt;0,0,I236-SUM(K236:L236)))</f>
        <v>#VALUE!</v>
      </c>
      <c r="K236" s="160" t="e">
        <f ca="1">IF(G236="Всього:",SUM($K$5:K235),IF(F236&lt;&gt;F235,(F236*O235/36000*(G236-CONCATENATE(DAY($C$4),".",MONTH(G235),".",YEAR(G235)))+(F235*O235/36000*(CONCATENATE(DAY($C$4),".",MONTH(G235),".",YEAR(G235))-G235))),F236*O235/36000*(G236-G235)))</f>
        <v>#VALUE!</v>
      </c>
      <c r="L236" s="160" t="e">
        <f ca="1">IF(G236="Всього:",SUM($L$5:L235),$E$4)</f>
        <v>#VALUE!</v>
      </c>
      <c r="M236" s="160" t="e">
        <f ca="1">IF(G236="Всього:",SUM($M$5:M235),IF($E$5="UAH",J236+L236+K236,J236+K236))</f>
        <v>#VALUE!</v>
      </c>
      <c r="N236" s="160" t="e">
        <f ca="1">IF(G236="Всього:",SUM($N$4:N235),IF($E$5="UAH","",L236))</f>
        <v>#VALUE!</v>
      </c>
      <c r="O236" s="160" t="e">
        <f t="shared" ca="1" si="12"/>
        <v>#VALUE!</v>
      </c>
    </row>
    <row r="237" spans="6:15" x14ac:dyDescent="0.3">
      <c r="F237" s="160" t="e">
        <f t="shared" ca="1" si="13"/>
        <v>#VALUE!</v>
      </c>
      <c r="G237" s="160" t="e">
        <f t="shared" ca="1" si="15"/>
        <v>#VALUE!</v>
      </c>
      <c r="H237" s="160" t="str">
        <f t="shared" ca="1" si="14"/>
        <v/>
      </c>
      <c r="I237" s="160" t="e">
        <f ca="1">IF($G237="Всього:",SUM($I$4:I236),IF(AND(DAY($C$4)&gt;=15,H237=1),K237+L237,$C$32))</f>
        <v>#VALUE!</v>
      </c>
      <c r="J237" s="160" t="e">
        <f ca="1">IF($G237="Всього:",SUM($J$4:J236),IF(I237-SUM(K237:L237)&lt;0,0,I237-SUM(K237:L237)))</f>
        <v>#VALUE!</v>
      </c>
      <c r="K237" s="160" t="e">
        <f ca="1">IF(G237="Всього:",SUM($K$5:K236),IF(F237&lt;&gt;F236,(F237*O236/36000*(G237-CONCATENATE(DAY($C$4),".",MONTH(G236),".",YEAR(G236)))+(F236*O236/36000*(CONCATENATE(DAY($C$4),".",MONTH(G236),".",YEAR(G236))-G236))),F237*O236/36000*(G237-G236)))</f>
        <v>#VALUE!</v>
      </c>
      <c r="L237" s="160" t="e">
        <f ca="1">IF(G237="Всього:",SUM($L$5:L236),$E$4)</f>
        <v>#VALUE!</v>
      </c>
      <c r="M237" s="160" t="e">
        <f ca="1">IF(G237="Всього:",SUM($M$5:M236),IF($E$5="UAH",J237+L237+K237,J237+K237))</f>
        <v>#VALUE!</v>
      </c>
      <c r="N237" s="160" t="e">
        <f ca="1">IF(G237="Всього:",SUM($N$4:N236),IF($E$5="UAH","",L237))</f>
        <v>#VALUE!</v>
      </c>
      <c r="O237" s="160" t="e">
        <f t="shared" ca="1" si="12"/>
        <v>#VALUE!</v>
      </c>
    </row>
    <row r="238" spans="6:15" x14ac:dyDescent="0.3">
      <c r="F238" s="160" t="e">
        <f t="shared" ca="1" si="13"/>
        <v>#VALUE!</v>
      </c>
      <c r="G238" s="160" t="e">
        <f t="shared" ca="1" si="15"/>
        <v>#VALUE!</v>
      </c>
      <c r="H238" s="160" t="str">
        <f t="shared" ca="1" si="14"/>
        <v/>
      </c>
      <c r="I238" s="160" t="e">
        <f ca="1">IF($G238="Всього:",SUM($I$4:I237),IF(AND(DAY($C$4)&gt;=15,H238=1),K238+L238,$C$32))</f>
        <v>#VALUE!</v>
      </c>
      <c r="J238" s="160" t="e">
        <f ca="1">IF($G238="Всього:",SUM($J$4:J237),IF(I238-SUM(K238:L238)&lt;0,0,I238-SUM(K238:L238)))</f>
        <v>#VALUE!</v>
      </c>
      <c r="K238" s="160" t="e">
        <f ca="1">IF(G238="Всього:",SUM($K$5:K237),IF(F238&lt;&gt;F237,(F238*O237/36000*(G238-CONCATENATE(DAY($C$4),".",MONTH(G237),".",YEAR(G237)))+(F237*O237/36000*(CONCATENATE(DAY($C$4),".",MONTH(G237),".",YEAR(G237))-G237))),F238*O237/36000*(G238-G237)))</f>
        <v>#VALUE!</v>
      </c>
      <c r="L238" s="160" t="e">
        <f ca="1">IF(G238="Всього:",SUM($L$5:L237),$E$4)</f>
        <v>#VALUE!</v>
      </c>
      <c r="M238" s="160" t="e">
        <f ca="1">IF(G238="Всього:",SUM($M$5:M237),IF($E$5="UAH",J238+L238+K238,J238+K238))</f>
        <v>#VALUE!</v>
      </c>
      <c r="N238" s="160" t="e">
        <f ca="1">IF(G238="Всього:",SUM($N$4:N237),IF($E$5="UAH","",L238))</f>
        <v>#VALUE!</v>
      </c>
      <c r="O238" s="160" t="e">
        <f t="shared" ca="1" si="12"/>
        <v>#VALUE!</v>
      </c>
    </row>
    <row r="239" spans="6:15" x14ac:dyDescent="0.3">
      <c r="F239" s="160" t="e">
        <f t="shared" ca="1" si="13"/>
        <v>#VALUE!</v>
      </c>
      <c r="G239" s="160" t="e">
        <f t="shared" ca="1" si="15"/>
        <v>#VALUE!</v>
      </c>
      <c r="H239" s="160" t="str">
        <f t="shared" ca="1" si="14"/>
        <v/>
      </c>
      <c r="I239" s="160" t="e">
        <f ca="1">IF($G239="Всього:",SUM($I$4:I238),IF(AND(DAY($C$4)&gt;=15,H239=1),K239+L239,$C$32))</f>
        <v>#VALUE!</v>
      </c>
      <c r="J239" s="160" t="e">
        <f ca="1">IF($G239="Всього:",SUM($J$4:J238),IF(I239-SUM(K239:L239)&lt;0,0,I239-SUM(K239:L239)))</f>
        <v>#VALUE!</v>
      </c>
      <c r="K239" s="160" t="e">
        <f ca="1">IF(G239="Всього:",SUM($K$5:K238),IF(F239&lt;&gt;F238,(F239*O238/36000*(G239-CONCATENATE(DAY($C$4),".",MONTH(G238),".",YEAR(G238)))+(F238*O238/36000*(CONCATENATE(DAY($C$4),".",MONTH(G238),".",YEAR(G238))-G238))),F239*O238/36000*(G239-G238)))</f>
        <v>#VALUE!</v>
      </c>
      <c r="L239" s="160" t="e">
        <f ca="1">IF(G239="Всього:",SUM($L$5:L238),$E$4)</f>
        <v>#VALUE!</v>
      </c>
      <c r="M239" s="160" t="e">
        <f ca="1">IF(G239="Всього:",SUM($M$5:M238),IF($E$5="UAH",J239+L239+K239,J239+K239))</f>
        <v>#VALUE!</v>
      </c>
      <c r="N239" s="160" t="e">
        <f ca="1">IF(G239="Всього:",SUM($N$4:N238),IF($E$5="UAH","",L239))</f>
        <v>#VALUE!</v>
      </c>
      <c r="O239" s="160" t="e">
        <f t="shared" ca="1" si="12"/>
        <v>#VALUE!</v>
      </c>
    </row>
    <row r="240" spans="6:15" x14ac:dyDescent="0.3">
      <c r="F240" s="160" t="e">
        <f t="shared" ca="1" si="13"/>
        <v>#VALUE!</v>
      </c>
      <c r="G240" s="160" t="e">
        <f t="shared" ca="1" si="15"/>
        <v>#VALUE!</v>
      </c>
      <c r="H240" s="160" t="str">
        <f t="shared" ca="1" si="14"/>
        <v/>
      </c>
      <c r="I240" s="160" t="e">
        <f ca="1">IF($G240="Всього:",SUM($I$4:I239),IF(AND(DAY($C$4)&gt;=15,H240=1),K240+L240,$C$32))</f>
        <v>#VALUE!</v>
      </c>
      <c r="J240" s="160" t="e">
        <f ca="1">IF($G240="Всього:",SUM($J$4:J239),IF(I240-SUM(K240:L240)&lt;0,0,I240-SUM(K240:L240)))</f>
        <v>#VALUE!</v>
      </c>
      <c r="K240" s="160" t="e">
        <f ca="1">IF(G240="Всього:",SUM($K$5:K239),IF(F240&lt;&gt;F239,(F240*O239/36000*(G240-CONCATENATE(DAY($C$4),".",MONTH(G239),".",YEAR(G239)))+(F239*O239/36000*(CONCATENATE(DAY($C$4),".",MONTH(G239),".",YEAR(G239))-G239))),F240*O239/36000*(G240-G239)))</f>
        <v>#VALUE!</v>
      </c>
      <c r="L240" s="160" t="e">
        <f ca="1">IF(G240="Всього:",SUM($L$5:L239),$E$4)</f>
        <v>#VALUE!</v>
      </c>
      <c r="M240" s="160" t="e">
        <f ca="1">IF(G240="Всього:",SUM($M$5:M239),IF($E$5="UAH",J240+L240+K240,J240+K240))</f>
        <v>#VALUE!</v>
      </c>
      <c r="N240" s="160" t="e">
        <f ca="1">IF(G240="Всього:",SUM($N$4:N239),IF($E$5="UAH","",L240))</f>
        <v>#VALUE!</v>
      </c>
      <c r="O240" s="160" t="e">
        <f t="shared" ca="1" si="12"/>
        <v>#VALUE!</v>
      </c>
    </row>
    <row r="241" spans="6:15" x14ac:dyDescent="0.3">
      <c r="F241" s="160" t="e">
        <f t="shared" ca="1" si="13"/>
        <v>#VALUE!</v>
      </c>
      <c r="G241" s="160" t="e">
        <f t="shared" ca="1" si="15"/>
        <v>#VALUE!</v>
      </c>
      <c r="H241" s="160" t="str">
        <f t="shared" ca="1" si="14"/>
        <v/>
      </c>
      <c r="I241" s="160" t="e">
        <f ca="1">IF($G241="Всього:",SUM($I$4:I240),IF(AND(DAY($C$4)&gt;=15,H241=1),K241+L241,$C$32))</f>
        <v>#VALUE!</v>
      </c>
      <c r="J241" s="160" t="e">
        <f ca="1">IF($G241="Всього:",SUM($J$4:J240),IF(I241-SUM(K241:L241)&lt;0,0,I241-SUM(K241:L241)))</f>
        <v>#VALUE!</v>
      </c>
      <c r="K241" s="160" t="e">
        <f ca="1">IF(G241="Всього:",SUM($K$5:K240),IF(F241&lt;&gt;F240,(F241*O240/36000*(G241-CONCATENATE(DAY($C$4),".",MONTH(G240),".",YEAR(G240)))+(F240*O240/36000*(CONCATENATE(DAY($C$4),".",MONTH(G240),".",YEAR(G240))-G240))),F241*O240/36000*(G241-G240)))</f>
        <v>#VALUE!</v>
      </c>
      <c r="L241" s="160" t="e">
        <f ca="1">IF(G241="Всього:",SUM($L$5:L240),$E$4)</f>
        <v>#VALUE!</v>
      </c>
      <c r="M241" s="160" t="e">
        <f ca="1">IF(G241="Всього:",SUM($M$5:M240),IF($E$5="UAH",J241+L241+K241,J241+K241))</f>
        <v>#VALUE!</v>
      </c>
      <c r="N241" s="160" t="e">
        <f ca="1">IF(G241="Всього:",SUM($N$4:N240),IF($E$5="UAH","",L241))</f>
        <v>#VALUE!</v>
      </c>
      <c r="O241" s="160" t="e">
        <f t="shared" ca="1" si="12"/>
        <v>#VALUE!</v>
      </c>
    </row>
    <row r="242" spans="6:15" x14ac:dyDescent="0.3">
      <c r="F242" s="160" t="e">
        <f t="shared" ca="1" si="13"/>
        <v>#VALUE!</v>
      </c>
      <c r="G242" s="160" t="e">
        <f t="shared" ca="1" si="15"/>
        <v>#VALUE!</v>
      </c>
      <c r="H242" s="160" t="str">
        <f t="shared" ca="1" si="14"/>
        <v/>
      </c>
      <c r="I242" s="160" t="e">
        <f ca="1">IF($G242="Всього:",SUM($I$4:I241),IF(AND(DAY($C$4)&gt;=15,H242=1),K242+L242,$C$32))</f>
        <v>#VALUE!</v>
      </c>
      <c r="J242" s="160" t="e">
        <f ca="1">IF($G242="Всього:",SUM($J$4:J241),IF(I242-SUM(K242:L242)&lt;0,0,I242-SUM(K242:L242)))</f>
        <v>#VALUE!</v>
      </c>
      <c r="K242" s="160" t="e">
        <f ca="1">IF(G242="Всього:",SUM($K$5:K241),IF(F242&lt;&gt;F241,(F242*O241/36000*(G242-CONCATENATE(DAY($C$4),".",MONTH(G241),".",YEAR(G241)))+(F241*O241/36000*(CONCATENATE(DAY($C$4),".",MONTH(G241),".",YEAR(G241))-G241))),F242*O241/36000*(G242-G241)))</f>
        <v>#VALUE!</v>
      </c>
      <c r="L242" s="160" t="e">
        <f ca="1">IF(G242="Всього:",SUM($L$5:L241),$E$4)</f>
        <v>#VALUE!</v>
      </c>
      <c r="M242" s="160" t="e">
        <f ca="1">IF(G242="Всього:",SUM($M$5:M241),IF($E$5="UAH",J242+L242+K242,J242+K242))</f>
        <v>#VALUE!</v>
      </c>
      <c r="N242" s="160" t="e">
        <f ca="1">IF(G242="Всього:",SUM($N$4:N241),IF($E$5="UAH","",L242))</f>
        <v>#VALUE!</v>
      </c>
      <c r="O242" s="160" t="e">
        <f t="shared" ca="1" si="12"/>
        <v>#VALUE!</v>
      </c>
    </row>
    <row r="243" spans="6:15" x14ac:dyDescent="0.3">
      <c r="F243" s="160" t="e">
        <f t="shared" ca="1" si="13"/>
        <v>#VALUE!</v>
      </c>
      <c r="G243" s="160" t="e">
        <f t="shared" ca="1" si="15"/>
        <v>#VALUE!</v>
      </c>
      <c r="H243" s="160" t="str">
        <f t="shared" ca="1" si="14"/>
        <v/>
      </c>
      <c r="I243" s="160" t="e">
        <f ca="1">IF($G243="Всього:",SUM($I$4:I242),IF(AND(DAY($C$4)&gt;=15,H243=1),K243+L243,$C$32))</f>
        <v>#VALUE!</v>
      </c>
      <c r="J243" s="160" t="e">
        <f ca="1">IF($G243="Всього:",SUM($J$4:J242),IF(I243-SUM(K243:L243)&lt;0,0,I243-SUM(K243:L243)))</f>
        <v>#VALUE!</v>
      </c>
      <c r="K243" s="160" t="e">
        <f ca="1">IF(G243="Всього:",SUM($K$5:K242),IF(F243&lt;&gt;F242,(F243*O242/36000*(G243-CONCATENATE(DAY($C$4),".",MONTH(G242),".",YEAR(G242)))+(F242*O242/36000*(CONCATENATE(DAY($C$4),".",MONTH(G242),".",YEAR(G242))-G242))),F243*O242/36000*(G243-G242)))</f>
        <v>#VALUE!</v>
      </c>
      <c r="L243" s="160" t="e">
        <f ca="1">IF(G243="Всього:",SUM($L$5:L242),$E$4)</f>
        <v>#VALUE!</v>
      </c>
      <c r="M243" s="160" t="e">
        <f ca="1">IF(G243="Всього:",SUM($M$5:M242),IF($E$5="UAH",J243+L243+K243,J243+K243))</f>
        <v>#VALUE!</v>
      </c>
      <c r="N243" s="160" t="e">
        <f ca="1">IF(G243="Всього:",SUM($N$4:N242),IF($E$5="UAH","",L243))</f>
        <v>#VALUE!</v>
      </c>
      <c r="O243" s="160" t="e">
        <f t="shared" ca="1" si="12"/>
        <v>#VALUE!</v>
      </c>
    </row>
    <row r="244" spans="6:15" x14ac:dyDescent="0.3">
      <c r="F244" s="160" t="e">
        <f t="shared" ca="1" si="13"/>
        <v>#VALUE!</v>
      </c>
      <c r="G244" s="160" t="e">
        <f t="shared" ca="1" si="15"/>
        <v>#VALUE!</v>
      </c>
      <c r="H244" s="160" t="str">
        <f t="shared" ca="1" si="14"/>
        <v/>
      </c>
      <c r="I244" s="160" t="e">
        <f ca="1">IF($G244="Всього:",SUM($I$4:I243),IF(AND(DAY($C$4)&gt;=15,H244=1),K244+L244,$C$32))</f>
        <v>#VALUE!</v>
      </c>
      <c r="J244" s="160" t="e">
        <f ca="1">IF($G244="Всього:",SUM($J$4:J243),IF(I244-SUM(K244:L244)&lt;0,0,I244-SUM(K244:L244)))</f>
        <v>#VALUE!</v>
      </c>
      <c r="K244" s="160" t="e">
        <f ca="1">IF(G244="Всього:",SUM($K$5:K243),IF(F244&lt;&gt;F243,(F244*O243/36000*(G244-CONCATENATE(DAY($C$4),".",MONTH(G243),".",YEAR(G243)))+(F243*O243/36000*(CONCATENATE(DAY($C$4),".",MONTH(G243),".",YEAR(G243))-G243))),F244*O243/36000*(G244-G243)))</f>
        <v>#VALUE!</v>
      </c>
      <c r="L244" s="160" t="e">
        <f ca="1">IF(G244="Всього:",SUM($L$5:L243),$E$4)</f>
        <v>#VALUE!</v>
      </c>
      <c r="M244" s="160" t="e">
        <f ca="1">IF(G244="Всього:",SUM($M$5:M243),IF($E$5="UAH",J244+L244+K244,J244+K244))</f>
        <v>#VALUE!</v>
      </c>
      <c r="N244" s="160" t="e">
        <f ca="1">IF(G244="Всього:",SUM($N$4:N243),IF($E$5="UAH","",L244))</f>
        <v>#VALUE!</v>
      </c>
      <c r="O244" s="160" t="e">
        <f t="shared" ca="1" si="12"/>
        <v>#VALUE!</v>
      </c>
    </row>
    <row r="245" spans="6:15" x14ac:dyDescent="0.3">
      <c r="F245" s="160" t="e">
        <f t="shared" ca="1" si="13"/>
        <v>#VALUE!</v>
      </c>
      <c r="G245" s="160" t="e">
        <f t="shared" ca="1" si="15"/>
        <v>#VALUE!</v>
      </c>
      <c r="H245" s="160" t="str">
        <f t="shared" ca="1" si="14"/>
        <v/>
      </c>
      <c r="I245" s="160" t="e">
        <f ca="1">IF($G245="Всього:",SUM($I$4:I244),IF(AND(DAY($C$4)&gt;=15,H245=1),K245+L245,$C$32))</f>
        <v>#VALUE!</v>
      </c>
      <c r="J245" s="160" t="e">
        <f ca="1">IF($G245="Всього:",SUM($J$4:J244),IF(I245-SUM(K245:L245)&lt;0,0,I245-SUM(K245:L245)))</f>
        <v>#VALUE!</v>
      </c>
      <c r="K245" s="160" t="e">
        <f ca="1">IF(G245="Всього:",SUM($K$5:K244),IF(F245&lt;&gt;F244,(F245*O244/36000*(G245-CONCATENATE(DAY($C$4),".",MONTH(G244),".",YEAR(G244)))+(F244*O244/36000*(CONCATENATE(DAY($C$4),".",MONTH(G244),".",YEAR(G244))-G244))),F245*O244/36000*(G245-G244)))</f>
        <v>#VALUE!</v>
      </c>
      <c r="L245" s="160" t="e">
        <f ca="1">IF(G245="Всього:",SUM($L$5:L244),$E$4)</f>
        <v>#VALUE!</v>
      </c>
      <c r="M245" s="160" t="e">
        <f ca="1">IF(G245="Всього:",SUM($M$5:M244),IF($E$5="UAH",J245+L245+K245,J245+K245))</f>
        <v>#VALUE!</v>
      </c>
      <c r="N245" s="160" t="e">
        <f ca="1">IF(G245="Всього:",SUM($N$4:N244),IF($E$5="UAH","",L245))</f>
        <v>#VALUE!</v>
      </c>
      <c r="O245" s="160" t="e">
        <f t="shared" ca="1" si="12"/>
        <v>#VALUE!</v>
      </c>
    </row>
    <row r="246" spans="6:15" x14ac:dyDescent="0.3">
      <c r="F246" s="160" t="e">
        <f t="shared" ca="1" si="13"/>
        <v>#VALUE!</v>
      </c>
      <c r="G246" s="160" t="e">
        <f t="shared" ca="1" si="15"/>
        <v>#VALUE!</v>
      </c>
      <c r="H246" s="160" t="str">
        <f t="shared" ca="1" si="14"/>
        <v/>
      </c>
      <c r="I246" s="160" t="e">
        <f ca="1">IF($G246="Всього:",SUM($I$4:I245),IF(AND(DAY($C$4)&gt;=15,H246=1),K246+L246,$C$32))</f>
        <v>#VALUE!</v>
      </c>
      <c r="J246" s="160" t="e">
        <f ca="1">IF($G246="Всього:",SUM($J$4:J245),IF(I246-SUM(K246:L246)&lt;0,0,I246-SUM(K246:L246)))</f>
        <v>#VALUE!</v>
      </c>
      <c r="K246" s="160" t="e">
        <f ca="1">IF(G246="Всього:",SUM($K$5:K245),IF(F246&lt;&gt;F245,(F246*O245/36000*(G246-CONCATENATE(DAY($C$4),".",MONTH(G245),".",YEAR(G245)))+(F245*O245/36000*(CONCATENATE(DAY($C$4),".",MONTH(G245),".",YEAR(G245))-G245))),F246*O245/36000*(G246-G245)))</f>
        <v>#VALUE!</v>
      </c>
      <c r="L246" s="160" t="e">
        <f ca="1">IF(G246="Всього:",SUM($L$5:L245),$E$4)</f>
        <v>#VALUE!</v>
      </c>
      <c r="M246" s="160" t="e">
        <f ca="1">IF(G246="Всього:",SUM($M$5:M245),IF($E$5="UAH",J246+L246+K246,J246+K246))</f>
        <v>#VALUE!</v>
      </c>
      <c r="N246" s="160" t="e">
        <f ca="1">IF(G246="Всього:",SUM($N$4:N245),IF($E$5="UAH","",L246))</f>
        <v>#VALUE!</v>
      </c>
      <c r="O246" s="160" t="e">
        <f t="shared" ca="1" si="12"/>
        <v>#VALUE!</v>
      </c>
    </row>
    <row r="247" spans="6:15" x14ac:dyDescent="0.3">
      <c r="F247" s="160" t="e">
        <f t="shared" ca="1" si="13"/>
        <v>#VALUE!</v>
      </c>
      <c r="G247" s="160" t="e">
        <f t="shared" ca="1" si="15"/>
        <v>#VALUE!</v>
      </c>
      <c r="H247" s="160" t="str">
        <f t="shared" ca="1" si="14"/>
        <v/>
      </c>
      <c r="I247" s="160" t="e">
        <f ca="1">IF($G247="Всього:",SUM($I$4:I246),IF(AND(DAY($C$4)&gt;=15,H247=1),K247+L247,$C$32))</f>
        <v>#VALUE!</v>
      </c>
      <c r="J247" s="160" t="e">
        <f ca="1">IF($G247="Всього:",SUM($J$4:J246),IF(I247-SUM(K247:L247)&lt;0,0,I247-SUM(K247:L247)))</f>
        <v>#VALUE!</v>
      </c>
      <c r="K247" s="160" t="e">
        <f ca="1">IF(G247="Всього:",SUM($K$5:K246),IF(F247&lt;&gt;F246,(F247*O246/36000*(G247-CONCATENATE(DAY($C$4),".",MONTH(G246),".",YEAR(G246)))+(F246*O246/36000*(CONCATENATE(DAY($C$4),".",MONTH(G246),".",YEAR(G246))-G246))),F247*O246/36000*(G247-G246)))</f>
        <v>#VALUE!</v>
      </c>
      <c r="L247" s="160" t="e">
        <f ca="1">IF(G247="Всього:",SUM($L$5:L246),$E$4)</f>
        <v>#VALUE!</v>
      </c>
      <c r="M247" s="160" t="e">
        <f ca="1">IF(G247="Всього:",SUM($M$5:M246),IF($E$5="UAH",J247+L247+K247,J247+K247))</f>
        <v>#VALUE!</v>
      </c>
      <c r="N247" s="160" t="e">
        <f ca="1">IF(G247="Всього:",SUM($N$4:N246),IF($E$5="UAH","",L247))</f>
        <v>#VALUE!</v>
      </c>
      <c r="O247" s="160" t="e">
        <f t="shared" ca="1" si="12"/>
        <v>#VALUE!</v>
      </c>
    </row>
    <row r="248" spans="6:15" x14ac:dyDescent="0.3">
      <c r="F248" s="160" t="e">
        <f>IF(G248="Всього:","",'Платоспроможність боржника'!$H$6)</f>
        <v>#VALUE!</v>
      </c>
      <c r="G248" s="160" t="e">
        <v>#VALUE!</v>
      </c>
      <c r="H248" s="160" t="str">
        <f t="shared" ref="H248" ca="1" si="16">IF(H247&gt;$E$3,"",H247+1)</f>
        <v/>
      </c>
      <c r="I248" s="160" t="e">
        <f>IF($G248="Всього:",SUM($I$4:I247),IF(AND(DAY($C$4)&gt;=15,H248=1),K248+L248,$C$32))</f>
        <v>#VALUE!</v>
      </c>
      <c r="J248" s="160" t="e">
        <f>IF($G248="Всього:",SUM($J$4:J247),I248-SUM(K248:L248))</f>
        <v>#VALUE!</v>
      </c>
      <c r="K248" s="160" t="e">
        <f>IF(G248="Всього:",SUM($K$5:K247),F248*O247/360*(G248-G247))</f>
        <v>#VALUE!</v>
      </c>
      <c r="L248" s="160" t="e">
        <f>IF(G248="Всього:",SUM($L$5:L247),$E$4)</f>
        <v>#VALUE!</v>
      </c>
      <c r="M248" s="160" t="e">
        <f>IF(G248="Всього:",SUM($M$5:M247),IF($E$5="UAH",J248+L248+K248,J248+K248))</f>
        <v>#VALUE!</v>
      </c>
      <c r="N248" s="160" t="e">
        <f>IF(G248="Всього:",SUM($N$4:N247),IF($E$5="UAH","",L248))</f>
        <v>#VALUE!</v>
      </c>
      <c r="O248" s="160" t="e">
        <f t="shared" ca="1" si="12"/>
        <v>#VALUE!</v>
      </c>
    </row>
  </sheetData>
  <phoneticPr fontId="6" type="noConversion"/>
  <conditionalFormatting sqref="C112">
    <cfRule type="containsText" dxfId="64" priority="1" operator="containsText" text="Поручитель неплатоспроможний">
      <formula>NOT(ISERROR(SEARCH("Поручитель неплатоспроможний",C112)))</formula>
    </cfRule>
    <cfRule type="containsText" dxfId="63" priority="2" operator="containsText" text="Поручитель платоспроможний">
      <formula>NOT(ISERROR(SEARCH("Поручитель платоспроможний",C112)))</formula>
    </cfRule>
  </conditionalFormatting>
  <conditionalFormatting sqref="D1">
    <cfRule type="expression" dxfId="62" priority="3">
      <formula>IF(#REF!="Так",FALSE,TRUE)</formula>
    </cfRule>
  </conditionalFormatting>
  <pageMargins left="0.75" right="0.75" top="1" bottom="1" header="0.5" footer="0.5"/>
  <pageSetup paperSize="9" scale="75" fitToHeight="10" orientation="landscape" r:id="rId1"/>
  <headerFooter alignWithMargins="0">
    <oddHeader>&amp;R&amp;"Calibri"&amp;10&amp;KFF0000 КОНФІДЕНЦІЙНА ІНФОРМАЦІЯ&amp;1#_x000D_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proba_perebudova_3">
                <anchor moveWithCells="1">
                  <from>
                    <xdr:col>5</xdr:col>
                    <xdr:colOff>99060</xdr:colOff>
                    <xdr:row>0</xdr:row>
                    <xdr:rowOff>60960</xdr:rowOff>
                  </from>
                  <to>
                    <xdr:col>79</xdr:col>
                    <xdr:colOff>99060</xdr:colOff>
                    <xdr:row>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5BC28-C913-44B6-861E-211393515DD5}">
  <sheetPr codeName="Лист4">
    <pageSetUpPr fitToPage="1"/>
  </sheetPr>
  <dimension ref="A1:AJ776"/>
  <sheetViews>
    <sheetView showGridLines="0" zoomScale="70" zoomScaleNormal="70" workbookViewId="0">
      <selection activeCell="K6" sqref="K6"/>
    </sheetView>
  </sheetViews>
  <sheetFormatPr defaultColWidth="8.6640625" defaultRowHeight="14.4" x14ac:dyDescent="0.3"/>
  <cols>
    <col min="1" max="1" width="28" style="11" customWidth="1"/>
    <col min="2" max="2" width="16.44140625" style="11" customWidth="1"/>
    <col min="3" max="3" width="23.6640625" style="11" customWidth="1"/>
    <col min="4" max="4" width="28" style="11" customWidth="1"/>
    <col min="5" max="5" width="13.5546875" style="11" customWidth="1"/>
    <col min="6" max="6" width="14.6640625" style="11" customWidth="1"/>
    <col min="7" max="7" width="17.6640625" style="11" customWidth="1"/>
    <col min="8" max="8" width="8" style="30" customWidth="1"/>
    <col min="9" max="9" width="15.44140625" style="11" customWidth="1"/>
    <col min="10" max="10" width="19.6640625" style="11" customWidth="1"/>
    <col min="11" max="11" width="15.44140625" style="11" customWidth="1"/>
    <col min="12" max="12" width="12.6640625" style="11" customWidth="1"/>
    <col min="13" max="13" width="12.33203125" style="11" customWidth="1"/>
    <col min="14" max="14" width="13.33203125" style="11" customWidth="1"/>
    <col min="15" max="15" width="16" style="11" customWidth="1"/>
    <col min="16" max="16" width="13.33203125" customWidth="1"/>
    <col min="17" max="17" width="13.6640625" style="11" customWidth="1"/>
    <col min="18" max="19" width="10.6640625" style="11" customWidth="1"/>
    <col min="20" max="20" width="8.6640625" style="11" customWidth="1"/>
    <col min="21" max="21" width="12.33203125" style="11" customWidth="1"/>
    <col min="22" max="22" width="8.6640625" style="11" customWidth="1"/>
    <col min="23" max="23" width="32.44140625" style="11" customWidth="1"/>
    <col min="24" max="24" width="8.6640625" style="11" customWidth="1"/>
    <col min="25" max="25" width="14.44140625" style="11" customWidth="1"/>
    <col min="26" max="26" width="8.6640625" style="11" customWidth="1"/>
    <col min="27" max="27" width="12.44140625" style="11" customWidth="1"/>
    <col min="28" max="28" width="10.6640625" style="11" customWidth="1"/>
    <col min="29" max="29" width="12.6640625" style="11" customWidth="1"/>
    <col min="30" max="78" width="8.6640625" style="11" customWidth="1"/>
    <col min="79" max="16384" width="8.6640625" style="11"/>
  </cols>
  <sheetData>
    <row r="1" spans="1:29" s="8" customFormat="1" ht="31.5" customHeight="1" x14ac:dyDescent="0.3">
      <c r="A1" s="12" t="s">
        <v>312</v>
      </c>
      <c r="B1" s="4" t="e">
        <f>((E1*POWER(1+(E2/12),E3)*(E2/12)))/(POWER(1+(E2/12),E3)-1)</f>
        <v>#DIV/0!</v>
      </c>
      <c r="C1" s="5" t="e">
        <f>PMT(E2/12,E3,-E1)</f>
        <v>#VALUE!</v>
      </c>
      <c r="D1" s="6" t="s">
        <v>313</v>
      </c>
      <c r="E1" s="7" t="e">
        <f>'Калькулятор '!N2</f>
        <v>#DIV/0!</v>
      </c>
      <c r="G1" s="9"/>
      <c r="H1" s="150" t="s">
        <v>314</v>
      </c>
      <c r="I1" s="150"/>
      <c r="J1" s="10">
        <f ca="1">TODAY()</f>
        <v>46181</v>
      </c>
      <c r="O1" s="35" t="s">
        <v>363</v>
      </c>
    </row>
    <row r="2" spans="1:29" s="8" customFormat="1" ht="16.5" customHeight="1" x14ac:dyDescent="0.25">
      <c r="A2" s="12" t="s">
        <v>315</v>
      </c>
      <c r="B2" s="4" t="e">
        <f>E1*(E2/12)</f>
        <v>#DIV/0!</v>
      </c>
      <c r="C2" s="5" t="e">
        <f>IPMT(E2/12,1,E3,-(E1))</f>
        <v>#VALUE!</v>
      </c>
      <c r="D2" s="6" t="s">
        <v>316</v>
      </c>
      <c r="E2" s="49" t="str">
        <f>'Калькулятор '!E14</f>
        <v/>
      </c>
      <c r="F2" s="13" t="s">
        <v>317</v>
      </c>
      <c r="G2" s="152" t="s">
        <v>353</v>
      </c>
      <c r="H2" s="155" t="s">
        <v>318</v>
      </c>
      <c r="I2" s="156"/>
      <c r="J2" s="156"/>
      <c r="K2" s="156"/>
      <c r="L2" s="156"/>
      <c r="M2" s="156"/>
      <c r="N2" s="156"/>
      <c r="O2" s="157"/>
      <c r="S2" s="8">
        <v>12</v>
      </c>
      <c r="W2" s="12" t="s">
        <v>411</v>
      </c>
      <c r="X2" s="12"/>
      <c r="Y2" s="26" t="e">
        <f>IF(E3=S2,J17,IF(E3=S3,J29,IF(E3=S4,J41,IF(E3=S5,J53,0))))+Y3+IF(E3=S6,J65,IF(E3=S7,J77,IF(E3=S8,J89,0)))</f>
        <v>#DIV/0!</v>
      </c>
      <c r="AA2" s="29"/>
      <c r="AB2" s="29" t="e">
        <f>R3+Y7+Y6+Y4</f>
        <v>#DIV/0!</v>
      </c>
      <c r="AC2" s="29">
        <f>IF(E3=S2,AVERAGE(O4:O15),IF(E3=S3,AVERAGE(O4:O27),IF(E3=S4,AVERAGE(O4:O39),IF(E3=S5,AVERAGE(O4:O51),IF(E3=S6,AVERAGE(O4:O63),0)))))</f>
        <v>0</v>
      </c>
    </row>
    <row r="3" spans="1:29" s="8" customFormat="1" ht="38.25" customHeight="1" x14ac:dyDescent="0.25">
      <c r="A3" s="12" t="s">
        <v>319</v>
      </c>
      <c r="B3" s="4" t="e">
        <f>B1-B2</f>
        <v>#DIV/0!</v>
      </c>
      <c r="C3" s="5" t="e">
        <f>PPMT(E2/12,1,E3,-E1)</f>
        <v>#VALUE!</v>
      </c>
      <c r="D3" s="6" t="s">
        <v>320</v>
      </c>
      <c r="E3" s="14">
        <f>'Калькулятор '!E12</f>
        <v>0</v>
      </c>
      <c r="F3" s="151"/>
      <c r="G3" s="153"/>
      <c r="H3" s="13" t="s">
        <v>321</v>
      </c>
      <c r="I3" s="13" t="s">
        <v>322</v>
      </c>
      <c r="J3" s="15" t="s">
        <v>323</v>
      </c>
      <c r="K3" s="13" t="s">
        <v>324</v>
      </c>
      <c r="L3" s="13" t="s">
        <v>325</v>
      </c>
      <c r="M3" s="15" t="s">
        <v>326</v>
      </c>
      <c r="N3" s="149"/>
      <c r="O3" s="13" t="s">
        <v>327</v>
      </c>
      <c r="R3" s="8">
        <f>IF(E3=S2,Y7,IF(E3=S3,Y7+R17,IF(E3=S4,Y7+(SUM(R17:R29)),IF(E3=S5,Y7+(SUM(R17:R41)),IF(E3=S6,Y7+(SUM(R17:R53)),IF(E3=S7,Y7+(SUM(R17:R65)),IF(E3=S8,Y7+(SUM(R17:R77)),0)))))))</f>
        <v>0</v>
      </c>
      <c r="S3" s="8">
        <v>24</v>
      </c>
      <c r="W3" s="12" t="s">
        <v>410</v>
      </c>
      <c r="X3" s="12"/>
      <c r="Y3" s="26" t="e">
        <f>SUM(Y4:Y8)+Y12-Y7+R3</f>
        <v>#DIV/0!</v>
      </c>
      <c r="AA3" s="29"/>
      <c r="AB3" s="8">
        <f>IF('Калькулятор '!V23&lt;20,1,IF(AC3=Y10,0,1))</f>
        <v>1</v>
      </c>
      <c r="AC3" s="40">
        <v>0.38880982995033264</v>
      </c>
    </row>
    <row r="4" spans="1:29" s="8" customFormat="1" ht="13.5" customHeight="1" x14ac:dyDescent="0.25">
      <c r="A4" s="12" t="s">
        <v>328</v>
      </c>
      <c r="B4" s="12"/>
      <c r="C4" s="33">
        <f ca="1">TODAY()</f>
        <v>46181</v>
      </c>
      <c r="D4" s="6" t="s">
        <v>329</v>
      </c>
      <c r="E4" s="12" t="e">
        <f>'Платоспроможність боржника'!H4/100*E1</f>
        <v>#DIV/0!</v>
      </c>
      <c r="F4" s="17" t="s">
        <v>330</v>
      </c>
      <c r="G4" s="154"/>
      <c r="H4" s="18">
        <v>0</v>
      </c>
      <c r="I4" s="19" t="str">
        <f>IF($E$5="EUR","Євро",IF($E$5="USD","дол. США","грн."))</f>
        <v>грн.</v>
      </c>
      <c r="J4" s="19" t="str">
        <f>IF($E$5="EUR","Євро",IF($E$5="USD","дол. США","грн."))</f>
        <v>грн.</v>
      </c>
      <c r="K4" s="17" t="str">
        <f>IF($E$5="EUR","Євро",IF($E$5="USD","дол. США","грн."))</f>
        <v>грн.</v>
      </c>
      <c r="L4" s="17" t="s">
        <v>331</v>
      </c>
      <c r="M4" s="20" t="str">
        <f>IF($E$5="EUR","Євро",IF($E$5="USD","дол. США","грн."))</f>
        <v>грн.</v>
      </c>
      <c r="N4" s="20" t="s">
        <v>331</v>
      </c>
      <c r="O4" s="21" t="e">
        <f>E1</f>
        <v>#DIV/0!</v>
      </c>
      <c r="P4" s="33">
        <f ca="1">C4</f>
        <v>46181</v>
      </c>
      <c r="Q4" s="8" t="str">
        <f>IFERROR(-E1+(Y6+Y7+Y5+Y8+Y12),"")</f>
        <v/>
      </c>
      <c r="S4" s="8">
        <v>36</v>
      </c>
      <c r="W4" s="12" t="s">
        <v>409</v>
      </c>
      <c r="X4" s="12"/>
      <c r="Y4" s="26">
        <f>IF(E3=S2,K17,IF(E3=S3,K29,IF(E3=S4,K41,IF(E3=S5,K53,0))))+IF(E3=S6,K65,IF(E3=S7,K77,IF(E3=S8,K89,0)))</f>
        <v>0</v>
      </c>
      <c r="AA4" s="29"/>
      <c r="AC4" s="40"/>
    </row>
    <row r="5" spans="1:29" s="8" customFormat="1" ht="13.2" x14ac:dyDescent="0.25">
      <c r="A5" s="22" t="s">
        <v>332</v>
      </c>
      <c r="B5" s="12">
        <v>1</v>
      </c>
      <c r="C5" s="12">
        <v>1</v>
      </c>
      <c r="D5" s="6" t="s">
        <v>333</v>
      </c>
      <c r="E5" s="12" t="s">
        <v>338</v>
      </c>
      <c r="F5" s="34" t="str">
        <f ca="1">IF(G5="Всього:","",IF(AND(G5&gt;$B$9,G5&lt;=$B$10),$C$16,IF(AND(G5&gt;$B$9,G5&lt;=$B$11),$D$16,IF(AND(G5&gt;$B$10,G5&lt;=$B$14),$E$16,$B$16))))</f>
        <v/>
      </c>
      <c r="G5" s="23">
        <f ca="1">IF(AND(DAY(C4)&lt;=15,$B$7&gt;DAY(C4)),DATE(YEAR(C4),MONTH(C4),IF($B$7&lt;&gt;"",DAY(IF($B$7&gt;DAY(EOMONTH(C4,0)),EOMONTH(C4,0),$B$7)),DAY(1))),DATE(YEAR(C4),MONTH(C4)+1,IF($B$7&lt;&gt;"",DAY(IF($B$7&gt;DAY(EOMONTH(C4,1)),EOMONTH(C4,1),$B$7)),DAY(1))))</f>
        <v>46211</v>
      </c>
      <c r="H5" s="24">
        <f>IF(H4&gt;$E$8,"",H4+1)</f>
        <v>1</v>
      </c>
      <c r="I5" s="25" t="e">
        <f ca="1">IF($G5="Всього:",SUM($I$4:I4),MAX($C$32,K5))</f>
        <v>#DIV/0!</v>
      </c>
      <c r="J5" s="25" t="e">
        <f ca="1">IF($G5="Всього:",SUM($J$4:J4),IF(I5-SUM(K5:L5)&lt;0,0,I5-SUM(K5:L5)))</f>
        <v>#DIV/0!</v>
      </c>
      <c r="K5" s="25" t="e">
        <f ca="1">$E$1*F5*(G5-$C$4)/36000</f>
        <v>#DIV/0!</v>
      </c>
      <c r="L5" s="25" t="e">
        <f>$E$4</f>
        <v>#DIV/0!</v>
      </c>
      <c r="M5" s="26" t="e">
        <f ca="1">IF($E$5="UAH",J5+L5+K5,J5+K5)</f>
        <v>#DIV/0!</v>
      </c>
      <c r="N5" s="27" t="str">
        <f>IF($E$5="UAH","",L5)</f>
        <v/>
      </c>
      <c r="O5" s="28" t="e">
        <f t="shared" ref="O5:O68" ca="1" si="0">O4-J5</f>
        <v>#DIV/0!</v>
      </c>
      <c r="P5" s="33">
        <f t="shared" ref="P5:P68" ca="1" si="1">G5</f>
        <v>46211</v>
      </c>
      <c r="Q5" s="8" t="e">
        <f ca="1">IF(R5="",I5,IFERROR(I5+R5,0))</f>
        <v>#DIV/0!</v>
      </c>
      <c r="S5" s="8">
        <v>48</v>
      </c>
      <c r="W5" s="12" t="s">
        <v>403</v>
      </c>
      <c r="X5" s="12"/>
      <c r="Y5" s="12">
        <f>Калькулятор!N40</f>
        <v>0</v>
      </c>
    </row>
    <row r="6" spans="1:29" s="8" customFormat="1" ht="13.2" x14ac:dyDescent="0.25">
      <c r="A6" s="12" t="s">
        <v>334</v>
      </c>
      <c r="B6" s="12"/>
      <c r="C6" s="26" t="e">
        <f>IF(E5="EUR",C1*E7,IF(E5="USD",C1*E6,C1))</f>
        <v>#VALUE!</v>
      </c>
      <c r="D6" s="6"/>
      <c r="E6" s="12"/>
      <c r="F6" s="34" t="str">
        <f t="shared" ref="F6:F69" ca="1" si="2">IF(G6="Всього:","",IF(AND(G6&gt;$B$9,G6&lt;=$B$10),$C$16,IF(AND(G6&gt;$B$9,G6&lt;=$B$11),$D$16,IF(AND(G6&gt;$B$10,G6&lt;=$B$14),$E$16,$B$16))))</f>
        <v/>
      </c>
      <c r="G6" s="23">
        <f ca="1">IF(H5=$E$3,"Всього:",IF($E$3=H6,$B$14,DATE(YEAR(G5),MONTH(G5)+1,IF($B$7&lt;&gt;"",DAY(IF($B$7&gt;DAY(EOMONTH(G5,1)),EOMONTH(G5,1),$B$7)),DAY(1)))))</f>
        <v>46242</v>
      </c>
      <c r="H6" s="24" t="str">
        <f t="shared" ref="H6:H69" si="3">IF(H5&gt;$E$8,"",H5+1)</f>
        <v/>
      </c>
      <c r="I6" s="25" t="e">
        <f ca="1">IF($G6="Всього:",SUM($I$4:I5),MAX($C$32,K6))</f>
        <v>#VALUE!</v>
      </c>
      <c r="J6" s="25" t="e">
        <f ca="1">IF($G6="Всього:",SUM($J$4:J5),IF(I6-SUM(K6:L6)&lt;0,0,I6-SUM(K6:L6)))</f>
        <v>#VALUE!</v>
      </c>
      <c r="K6" s="25" t="e">
        <f ca="1">IF(G6="Всього:",SUM($K$5:K5),F6*O5/36000*(G6-G5))</f>
        <v>#VALUE!</v>
      </c>
      <c r="L6" s="25" t="e">
        <f ca="1">IF(G6="Всього:",SUM($L$5:L5),$E$4)</f>
        <v>#DIV/0!</v>
      </c>
      <c r="M6" s="25" t="e">
        <f ca="1">IF(G6="Всього:",SUM($M$5:M5),IF($E$5="UAH",J6+L6+K6,J6+K6))</f>
        <v>#VALUE!</v>
      </c>
      <c r="N6" s="27" t="str">
        <f ca="1">IF(G6="Всього:",SUM($N$4:N5),IF($E$5="UAH","",L6))</f>
        <v/>
      </c>
      <c r="O6" s="25" t="e">
        <f t="shared" ca="1" si="0"/>
        <v>#DIV/0!</v>
      </c>
      <c r="P6" s="33">
        <f t="shared" ca="1" si="1"/>
        <v>46242</v>
      </c>
      <c r="Q6" s="8" t="e">
        <f t="shared" ref="Q6:Q69" ca="1" si="4">IF(R7="",I6,IFERROR(I6+R7,0))</f>
        <v>#VALUE!</v>
      </c>
      <c r="S6" s="8">
        <v>60</v>
      </c>
      <c r="W6" s="12" t="s">
        <v>404</v>
      </c>
      <c r="X6" s="12"/>
      <c r="Y6" s="12" t="e">
        <f>Z6*E1</f>
        <v>#DIV/0!</v>
      </c>
      <c r="Z6" s="60">
        <f>Калькулятор!G9</f>
        <v>9.9000000000000008E-3</v>
      </c>
      <c r="AA6" s="12"/>
    </row>
    <row r="7" spans="1:29" s="8" customFormat="1" ht="13.2" x14ac:dyDescent="0.25">
      <c r="A7" s="12" t="s">
        <v>341</v>
      </c>
      <c r="B7" s="12">
        <f ca="1">DAY(C4)</f>
        <v>8</v>
      </c>
      <c r="C7" s="12"/>
      <c r="D7" s="6"/>
      <c r="E7" s="12"/>
      <c r="F7" s="34" t="str">
        <f t="shared" ca="1" si="2"/>
        <v/>
      </c>
      <c r="G7" s="23">
        <f t="shared" ref="G7:G70" ca="1" si="5">IF(H6=$E$3,"Всього:",IF($E$3=H7,$B$14,DATE(YEAR(G6),MONTH(G6)+1,IF($B$7&lt;&gt;"",DAY(IF($B$7&gt;DAY(EOMONTH(G6,1)),EOMONTH(G6,1),$B$7)),DAY(1)))))</f>
        <v>46273</v>
      </c>
      <c r="H7" s="24" t="str">
        <f t="shared" si="3"/>
        <v/>
      </c>
      <c r="I7" s="25" t="e">
        <f ca="1">IF($G7="Всього:",SUM($I$4:I6),MAX($C$32,K7))</f>
        <v>#VALUE!</v>
      </c>
      <c r="J7" s="25" t="e">
        <f ca="1">IF($G7="Всього:",SUM($J$4:J6),IF(I7-SUM(K7:L7)&lt;0,0,I7-SUM(K7:L7)))</f>
        <v>#VALUE!</v>
      </c>
      <c r="K7" s="25" t="e">
        <f ca="1">IF(G7="Всього:",SUM($K$5:K6),F7*O6/36000*(G7-G6))</f>
        <v>#VALUE!</v>
      </c>
      <c r="L7" s="25" t="e">
        <f ca="1">IF(G7="Всього:",SUM($L$5:L6),$E$4)</f>
        <v>#DIV/0!</v>
      </c>
      <c r="M7" s="25" t="e">
        <f ca="1">IF(G7="Всього:",SUM($M$5:M6),IF($E$5="UAH",J7+L7+K7,J7+K7))</f>
        <v>#VALUE!</v>
      </c>
      <c r="N7" s="27" t="str">
        <f ca="1">IF(G7="Всього:",SUM($N$4:N6),IF($E$5="UAH","",L7))</f>
        <v/>
      </c>
      <c r="O7" s="25" t="e">
        <f t="shared" ca="1" si="0"/>
        <v>#DIV/0!</v>
      </c>
      <c r="P7" s="33">
        <f t="shared" ca="1" si="1"/>
        <v>46273</v>
      </c>
      <c r="Q7" s="8" t="e">
        <f t="shared" ca="1" si="4"/>
        <v>#VALUE!</v>
      </c>
      <c r="S7" s="8">
        <v>72</v>
      </c>
      <c r="W7" s="12" t="s">
        <v>405</v>
      </c>
      <c r="X7" s="12"/>
      <c r="Y7" s="12">
        <f>Z7*AA7</f>
        <v>0</v>
      </c>
      <c r="Z7" s="60">
        <f>Калькулятор!G15</f>
        <v>5.16E-2</v>
      </c>
      <c r="AA7" s="26">
        <f>'Калькулятор '!E4</f>
        <v>0</v>
      </c>
    </row>
    <row r="8" spans="1:29" s="8" customFormat="1" ht="12.75" customHeight="1" x14ac:dyDescent="0.25">
      <c r="A8" s="12" t="s">
        <v>354</v>
      </c>
      <c r="B8" s="16">
        <f ca="1">C4</f>
        <v>46181</v>
      </c>
      <c r="D8" s="6" t="s">
        <v>343</v>
      </c>
      <c r="E8" s="8">
        <f>E3</f>
        <v>0</v>
      </c>
      <c r="F8" s="34" t="str">
        <f t="shared" ca="1" si="2"/>
        <v/>
      </c>
      <c r="G8" s="23">
        <f t="shared" ca="1" si="5"/>
        <v>46303</v>
      </c>
      <c r="H8" s="24" t="str">
        <f t="shared" si="3"/>
        <v/>
      </c>
      <c r="I8" s="25" t="e">
        <f ca="1">IF($G8="Всього:",SUM($I$4:I7),MAX($C$32,K8))</f>
        <v>#VALUE!</v>
      </c>
      <c r="J8" s="25" t="e">
        <f ca="1">IF($G8="Всього:",SUM($J$4:J7),IF(I8-SUM(K8:L8)&lt;0,0,I8-SUM(K8:L8)))</f>
        <v>#VALUE!</v>
      </c>
      <c r="K8" s="25" t="e">
        <f ca="1">IF(G8="Всього:",SUM($K$5:K7),F8*O7/36000*(G8-G7))</f>
        <v>#VALUE!</v>
      </c>
      <c r="L8" s="25" t="e">
        <f ca="1">IF(G8="Всього:",SUM($L$5:L7),$E$4)</f>
        <v>#DIV/0!</v>
      </c>
      <c r="M8" s="25" t="e">
        <f ca="1">IF(G8="Всього:",SUM($M$5:M7),IF($E$5="UAH",J8+L8+K8,J8+K8))</f>
        <v>#VALUE!</v>
      </c>
      <c r="N8" s="27" t="str">
        <f ca="1">IF(G8="Всього:",SUM($N$4:N7),IF($E$5="UAH","",L8))</f>
        <v/>
      </c>
      <c r="O8" s="25" t="e">
        <f t="shared" ca="1" si="0"/>
        <v>#DIV/0!</v>
      </c>
      <c r="P8" s="33">
        <f t="shared" ca="1" si="1"/>
        <v>46303</v>
      </c>
      <c r="Q8" s="8" t="e">
        <f t="shared" ca="1" si="4"/>
        <v>#VALUE!</v>
      </c>
      <c r="S8" s="8">
        <v>84</v>
      </c>
      <c r="W8" s="12" t="s">
        <v>406</v>
      </c>
      <c r="X8" s="12"/>
      <c r="Y8" s="12">
        <f>IF('Калькулятор '!E6="Ні",'Калькулятор (реал. ставка)'!C18,0)</f>
        <v>0</v>
      </c>
      <c r="Z8" s="12">
        <v>250</v>
      </c>
      <c r="AA8" s="12">
        <v>3028</v>
      </c>
    </row>
    <row r="9" spans="1:29" s="8" customFormat="1" ht="13.5" customHeight="1" x14ac:dyDescent="0.25">
      <c r="A9" s="12" t="s">
        <v>355</v>
      </c>
      <c r="B9" s="16">
        <f ca="1">IF('Платоспроможність боржника'!H7="",B14,EDATE($C$4,'Платоспроможність боржника'!$H$7))</f>
        <v>46180</v>
      </c>
      <c r="F9" s="34" t="str">
        <f t="shared" ca="1" si="2"/>
        <v/>
      </c>
      <c r="G9" s="23">
        <f t="shared" ca="1" si="5"/>
        <v>46334</v>
      </c>
      <c r="H9" s="24" t="str">
        <f t="shared" si="3"/>
        <v/>
      </c>
      <c r="I9" s="25" t="e">
        <f ca="1">IF($G9="Всього:",SUM($I$4:I8),MAX($C$32,K9))</f>
        <v>#VALUE!</v>
      </c>
      <c r="J9" s="25" t="e">
        <f ca="1">IF($G9="Всього:",SUM($J$4:J8),IF(I9-SUM(K9:L9)&lt;0,0,I9-SUM(K9:L9)))</f>
        <v>#VALUE!</v>
      </c>
      <c r="K9" s="25" t="e">
        <f ca="1">IF(G9="Всього:",SUM($K$5:K8),F9*O8/36000*(G9-G8))</f>
        <v>#VALUE!</v>
      </c>
      <c r="L9" s="25" t="e">
        <f ca="1">IF(G9="Всього:",SUM($L$5:L8),$E$4)</f>
        <v>#DIV/0!</v>
      </c>
      <c r="M9" s="25" t="e">
        <f ca="1">IF(G9="Всього:",SUM($M$5:M8),IF($E$5="UAH",J9+L9+K9,J9+K9))</f>
        <v>#VALUE!</v>
      </c>
      <c r="N9" s="27" t="str">
        <f ca="1">IF(G9="Всього:",SUM($N$4:N8),IF($E$5="UAH","",L9))</f>
        <v/>
      </c>
      <c r="O9" s="25" t="e">
        <f t="shared" ca="1" si="0"/>
        <v>#DIV/0!</v>
      </c>
      <c r="P9" s="33">
        <f t="shared" ca="1" si="1"/>
        <v>46334</v>
      </c>
      <c r="Q9" s="8" t="e">
        <f t="shared" ca="1" si="4"/>
        <v>#VALUE!</v>
      </c>
      <c r="W9" s="12" t="s">
        <v>407</v>
      </c>
      <c r="X9" s="12"/>
      <c r="Y9" s="12">
        <f>Калькулятор!N46</f>
        <v>0</v>
      </c>
    </row>
    <row r="10" spans="1:29" s="8" customFormat="1" ht="13.2" x14ac:dyDescent="0.25">
      <c r="A10" s="12" t="s">
        <v>356</v>
      </c>
      <c r="B10" s="16">
        <f ca="1">IF('Платоспроможність боржника'!I7="",B14,EDATE($C$4,'Платоспроможність боржника'!$H$7+'Платоспроможність боржника'!$I$7))</f>
        <v>46180</v>
      </c>
      <c r="F10" s="34" t="str">
        <f t="shared" ca="1" si="2"/>
        <v/>
      </c>
      <c r="G10" s="23">
        <f t="shared" ca="1" si="5"/>
        <v>46364</v>
      </c>
      <c r="H10" s="24" t="str">
        <f t="shared" si="3"/>
        <v/>
      </c>
      <c r="I10" s="25" t="e">
        <f ca="1">IF($G10="Всього:",SUM($I$4:I9),MAX($C$32,K10))</f>
        <v>#VALUE!</v>
      </c>
      <c r="J10" s="25" t="e">
        <f ca="1">IF($G10="Всього:",SUM($J$4:J9),IF(I10-SUM(K10:L10)&lt;0,0,I10-SUM(K10:L10)))</f>
        <v>#VALUE!</v>
      </c>
      <c r="K10" s="25" t="e">
        <f ca="1">IF(G10="Всього:",SUM($K$5:K9),F10*O9/36000*(G10-G9))</f>
        <v>#VALUE!</v>
      </c>
      <c r="L10" s="25" t="e">
        <f ca="1">IF(G10="Всього:",SUM($L$5:L9),$E$4)</f>
        <v>#DIV/0!</v>
      </c>
      <c r="M10" s="25" t="e">
        <f ca="1">IF(G10="Всього:",SUM($M$5:M9),IF($E$5="UAH",J10+L10+K10,J10+K10))</f>
        <v>#VALUE!</v>
      </c>
      <c r="N10" s="27" t="str">
        <f ca="1">IF(G10="Всього:",SUM($N$4:N9),IF($E$5="UAH","",L10))</f>
        <v/>
      </c>
      <c r="O10" s="25" t="e">
        <f t="shared" ca="1" si="0"/>
        <v>#DIV/0!</v>
      </c>
      <c r="P10" s="33">
        <f t="shared" ca="1" si="1"/>
        <v>46364</v>
      </c>
      <c r="Q10" s="8" t="e">
        <f t="shared" ca="1" si="4"/>
        <v>#VALUE!</v>
      </c>
      <c r="W10" s="12" t="s">
        <v>408</v>
      </c>
      <c r="X10" s="12"/>
      <c r="Y10" s="39" t="b">
        <f>IF(E3=S2,XIRR($Q$4:$Q$16,$P$4:$P$16),IF(E3=S3,XIRR($Q$4:$Q$28,$P$4:$P$28),IF(E3=S4,XIRR($Q$4:$Q$40,$P$4:$P$40),IF(E3=S5,XIRR($Q$4:$Q$52,$P$4:$P$52),IF(E3=S6,XIRR($Q$4:$Q$64,$P$4:$P$64),IF(E3=S7,XIRR($Q$4:$Q$76,$P$4:$P$76),IF(E3=S8,XIRR($Q$4:$Q$88,$P$4:$P$88))))))))</f>
        <v>0</v>
      </c>
    </row>
    <row r="11" spans="1:29" s="8" customFormat="1" ht="13.2" x14ac:dyDescent="0.25">
      <c r="A11" s="12" t="s">
        <v>357</v>
      </c>
      <c r="B11" s="16">
        <f ca="1">IF('Платоспроможність боржника'!J7="",B14,EDATE($C$4,'Платоспроможність боржника'!$H$7+'Платоспроможність боржника'!$I$7+'Платоспроможність боржника'!$J$7))</f>
        <v>46180</v>
      </c>
      <c r="F11" s="34" t="str">
        <f t="shared" ca="1" si="2"/>
        <v/>
      </c>
      <c r="G11" s="23">
        <f t="shared" ca="1" si="5"/>
        <v>46395</v>
      </c>
      <c r="H11" s="24" t="str">
        <f t="shared" si="3"/>
        <v/>
      </c>
      <c r="I11" s="25" t="e">
        <f ca="1">IF($G11="Всього:",SUM($I$4:I10),MAX($C$32,K11))</f>
        <v>#VALUE!</v>
      </c>
      <c r="J11" s="25" t="e">
        <f ca="1">IF($G11="Всього:",SUM($J$4:J10),IF(I11-SUM(K11:L11)&lt;0,0,I11-SUM(K11:L11)))</f>
        <v>#VALUE!</v>
      </c>
      <c r="K11" s="25" t="e">
        <f ca="1">IF(G11="Всього:",SUM($K$5:K10),F11*O10/36000*(G11-G10))</f>
        <v>#VALUE!</v>
      </c>
      <c r="L11" s="25" t="e">
        <f ca="1">IF(G11="Всього:",SUM($L$5:L10),$E$4)</f>
        <v>#DIV/0!</v>
      </c>
      <c r="M11" s="25" t="e">
        <f ca="1">IF(G11="Всього:",SUM($M$5:M10),IF($E$5="UAH",J11+L11+K11,J11+K11))</f>
        <v>#VALUE!</v>
      </c>
      <c r="N11" s="27" t="str">
        <f ca="1">IF(G11="Всього:",SUM($N$4:N10),IF($E$5="UAH","",L11))</f>
        <v/>
      </c>
      <c r="O11" s="25" t="e">
        <f t="shared" ca="1" si="0"/>
        <v>#DIV/0!</v>
      </c>
      <c r="P11" s="33">
        <f t="shared" ca="1" si="1"/>
        <v>46395</v>
      </c>
      <c r="Q11" s="8" t="e">
        <f t="shared" ca="1" si="4"/>
        <v>#VALUE!</v>
      </c>
      <c r="R11" s="33"/>
      <c r="W11" s="12" t="s">
        <v>475</v>
      </c>
      <c r="X11" s="12"/>
      <c r="Y11" s="39" t="e">
        <f>AB2/AC2/E3*12</f>
        <v>#DIV/0!</v>
      </c>
    </row>
    <row r="12" spans="1:29" s="8" customFormat="1" ht="13.2" x14ac:dyDescent="0.25">
      <c r="F12" s="34" t="str">
        <f t="shared" ca="1" si="2"/>
        <v/>
      </c>
      <c r="G12" s="23">
        <f t="shared" ca="1" si="5"/>
        <v>46426</v>
      </c>
      <c r="H12" s="24" t="str">
        <f t="shared" si="3"/>
        <v/>
      </c>
      <c r="I12" s="25" t="e">
        <f ca="1">IF($G12="Всього:",SUM($I$4:I11),MAX($C$32,K12))</f>
        <v>#VALUE!</v>
      </c>
      <c r="J12" s="25" t="e">
        <f ca="1">IF($G12="Всього:",SUM($J$4:J11),IF(I12-SUM(K12:L12)&lt;0,0,I12-SUM(K12:L12)))</f>
        <v>#VALUE!</v>
      </c>
      <c r="K12" s="25" t="e">
        <f ca="1">IF(G12="Всього:",SUM($K$5:K11),F12*O11/36000*(G12-G11))</f>
        <v>#VALUE!</v>
      </c>
      <c r="L12" s="25" t="e">
        <f ca="1">IF(G12="Всього:",SUM($L$5:L11),$E$4)</f>
        <v>#DIV/0!</v>
      </c>
      <c r="M12" s="25" t="e">
        <f ca="1">IF(G12="Всього:",SUM($M$5:M11),IF($E$5="UAH",J12+L12+K12,J12+K12))</f>
        <v>#VALUE!</v>
      </c>
      <c r="N12" s="27" t="str">
        <f ca="1">IF(G12="Всього:",SUM($N$4:N11),IF($E$5="UAH","",L12))</f>
        <v/>
      </c>
      <c r="O12" s="25" t="e">
        <f t="shared" ca="1" si="0"/>
        <v>#DIV/0!</v>
      </c>
      <c r="P12" s="33">
        <f t="shared" ca="1" si="1"/>
        <v>46426</v>
      </c>
      <c r="Q12" s="8" t="e">
        <f t="shared" ca="1" si="4"/>
        <v>#VALUE!</v>
      </c>
      <c r="R12" s="33"/>
      <c r="W12" s="12" t="s">
        <v>470</v>
      </c>
      <c r="X12" s="12"/>
      <c r="Y12" s="12">
        <f>Калькулятор!N43+Калькулятор!N37</f>
        <v>0</v>
      </c>
    </row>
    <row r="13" spans="1:29" s="8" customFormat="1" ht="13.2" x14ac:dyDescent="0.25">
      <c r="F13" s="34" t="str">
        <f t="shared" ca="1" si="2"/>
        <v/>
      </c>
      <c r="G13" s="23">
        <f t="shared" ca="1" si="5"/>
        <v>46454</v>
      </c>
      <c r="H13" s="24" t="str">
        <f t="shared" si="3"/>
        <v/>
      </c>
      <c r="I13" s="25" t="e">
        <f ca="1">IF($G13="Всього:",SUM($I$4:I12),MAX($C$32,K13))</f>
        <v>#VALUE!</v>
      </c>
      <c r="J13" s="25" t="e">
        <f ca="1">IF($G13="Всього:",SUM($J$4:J12),IF(I13-SUM(K13:L13)&lt;0,0,I13-SUM(K13:L13)))</f>
        <v>#VALUE!</v>
      </c>
      <c r="K13" s="25" t="e">
        <f ca="1">IF(G13="Всього:",SUM($K$5:K12),F13*O12/36000*(G13-G12))</f>
        <v>#VALUE!</v>
      </c>
      <c r="L13" s="25" t="e">
        <f ca="1">IF(G13="Всього:",SUM($L$5:L12),$E$4)</f>
        <v>#DIV/0!</v>
      </c>
      <c r="M13" s="25" t="e">
        <f ca="1">IF(G13="Всього:",SUM($M$5:M12),IF($E$5="UAH",J13+L13+K13,J13+K13))</f>
        <v>#VALUE!</v>
      </c>
      <c r="N13" s="27" t="str">
        <f ca="1">IF(G13="Всього:",SUM($N$4:N12),IF($E$5="UAH","",L13))</f>
        <v/>
      </c>
      <c r="O13" s="25" t="e">
        <f t="shared" ca="1" si="0"/>
        <v>#DIV/0!</v>
      </c>
      <c r="P13" s="33">
        <f t="shared" ca="1" si="1"/>
        <v>46454</v>
      </c>
      <c r="Q13" s="8" t="e">
        <f t="shared" ca="1" si="4"/>
        <v>#VALUE!</v>
      </c>
    </row>
    <row r="14" spans="1:29" s="8" customFormat="1" ht="13.2" x14ac:dyDescent="0.25">
      <c r="A14" s="12" t="s">
        <v>335</v>
      </c>
      <c r="B14" s="23">
        <f ca="1">EDATE($C$4,$E$3)-1</f>
        <v>46180</v>
      </c>
      <c r="F14" s="34" t="str">
        <f t="shared" ca="1" si="2"/>
        <v/>
      </c>
      <c r="G14" s="23">
        <f t="shared" ca="1" si="5"/>
        <v>46485</v>
      </c>
      <c r="H14" s="24" t="str">
        <f t="shared" si="3"/>
        <v/>
      </c>
      <c r="I14" s="25" t="e">
        <f ca="1">IF($G14="Всього:",SUM($I$4:I13),MAX($C$32,K14))</f>
        <v>#VALUE!</v>
      </c>
      <c r="J14" s="25" t="e">
        <f ca="1">IF($G14="Всього:",SUM($J$4:J13),IF(I14-SUM(K14:L14)&lt;0,0,I14-SUM(K14:L14)))</f>
        <v>#VALUE!</v>
      </c>
      <c r="K14" s="25" t="e">
        <f ca="1">IF(G14="Всього:",SUM($K$5:K13),F14*O13/36000*(G14-G13))</f>
        <v>#VALUE!</v>
      </c>
      <c r="L14" s="25" t="e">
        <f ca="1">IF(G14="Всього:",SUM($L$5:L13),$E$4)</f>
        <v>#DIV/0!</v>
      </c>
      <c r="M14" s="25" t="e">
        <f ca="1">IF(G14="Всього:",SUM($M$5:M13),IF($E$5="UAH",J14+L14+K14,J14+K14))</f>
        <v>#VALUE!</v>
      </c>
      <c r="N14" s="27" t="str">
        <f ca="1">IF(G14="Всього:",SUM($N$4:N13),IF($E$5="UAH","",L14))</f>
        <v/>
      </c>
      <c r="O14" s="25" t="e">
        <f t="shared" ca="1" si="0"/>
        <v>#DIV/0!</v>
      </c>
      <c r="P14" s="33">
        <f t="shared" ca="1" si="1"/>
        <v>46485</v>
      </c>
      <c r="Q14" s="8" t="e">
        <f t="shared" ca="1" si="4"/>
        <v>#VALUE!</v>
      </c>
      <c r="T14" s="8">
        <v>315373.34000000003</v>
      </c>
      <c r="U14" s="8" t="e">
        <f>T14+Q4</f>
        <v>#VALUE!</v>
      </c>
      <c r="X14" s="8">
        <v>2500000</v>
      </c>
    </row>
    <row r="15" spans="1:29" s="8" customFormat="1" x14ac:dyDescent="0.3">
      <c r="A15"/>
      <c r="B15"/>
      <c r="F15" s="34" t="str">
        <f t="shared" ca="1" si="2"/>
        <v/>
      </c>
      <c r="G15" s="23">
        <f t="shared" ca="1" si="5"/>
        <v>46515</v>
      </c>
      <c r="H15" s="24" t="str">
        <f t="shared" si="3"/>
        <v/>
      </c>
      <c r="I15" s="25" t="e">
        <f ca="1">IF($G15="Всього:",SUM($I$4:I14),MAX($C$32,K15))</f>
        <v>#VALUE!</v>
      </c>
      <c r="J15" s="25" t="e">
        <f ca="1">IF($G15="Всього:",SUM($J$4:J14),IF(I15-SUM(K15:L15)&lt;0,0,I15-SUM(K15:L15)))</f>
        <v>#VALUE!</v>
      </c>
      <c r="K15" s="25" t="e">
        <f ca="1">IF(G15="Всього:",SUM($K$5:K14),F15*O14/36000*(G15-G14))</f>
        <v>#VALUE!</v>
      </c>
      <c r="L15" s="25" t="e">
        <f ca="1">IF(G15="Всього:",SUM($L$5:L14),$E$4)</f>
        <v>#DIV/0!</v>
      </c>
      <c r="M15" s="25" t="e">
        <f ca="1">IF(G15="Всього:",SUM($M$5:M14),IF($E$5="UAH",J15+L15+K15,J15+K15))</f>
        <v>#VALUE!</v>
      </c>
      <c r="N15" s="27" t="str">
        <f ca="1">IF(G15="Всього:",SUM($N$4:N14),IF($E$5="UAH","",L15))</f>
        <v/>
      </c>
      <c r="O15" s="25" t="e">
        <f t="shared" ca="1" si="0"/>
        <v>#DIV/0!</v>
      </c>
      <c r="P15" s="33">
        <f t="shared" ca="1" si="1"/>
        <v>46515</v>
      </c>
      <c r="Q15" s="8" t="e">
        <f t="shared" ca="1" si="4"/>
        <v>#VALUE!</v>
      </c>
      <c r="U15" s="8" t="e">
        <f>400000-Y8-W13-Y6-Y5</f>
        <v>#DIV/0!</v>
      </c>
      <c r="X15" s="12"/>
      <c r="Y15" s="12">
        <v>12</v>
      </c>
      <c r="Z15" s="12">
        <v>24</v>
      </c>
      <c r="AA15" s="12">
        <v>36</v>
      </c>
      <c r="AB15" s="12">
        <v>48</v>
      </c>
      <c r="AC15" s="12">
        <v>60</v>
      </c>
    </row>
    <row r="16" spans="1:29" s="8" customFormat="1" x14ac:dyDescent="0.3">
      <c r="A16" s="1" t="s">
        <v>339</v>
      </c>
      <c r="B16" s="2" t="str">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
      </c>
      <c r="C16" s="2">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2">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2">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34" t="str">
        <f t="shared" ca="1" si="2"/>
        <v/>
      </c>
      <c r="G16" s="23">
        <f t="shared" ca="1" si="5"/>
        <v>46546</v>
      </c>
      <c r="H16" s="24" t="str">
        <f t="shared" si="3"/>
        <v/>
      </c>
      <c r="I16" s="25" t="e">
        <f ca="1">IF($G16="Всього:",SUM($I$4:I15),MAX($C$32,K16))</f>
        <v>#VALUE!</v>
      </c>
      <c r="J16" s="25" t="e">
        <f ca="1">IF($G16="Всього:",SUM($J$4:J15),IF(I16-SUM(K16:L16)&lt;0,0,I16-SUM(K16:L16)))</f>
        <v>#VALUE!</v>
      </c>
      <c r="K16" s="25" t="e">
        <f ca="1">IF(G16="Всього:",SUM($K$5:K15),F16*O15/36000*(G16-G15))</f>
        <v>#VALUE!</v>
      </c>
      <c r="L16" s="25" t="e">
        <f ca="1">IF(G16="Всього:",SUM($L$5:L15),$E$4)</f>
        <v>#DIV/0!</v>
      </c>
      <c r="M16" s="25" t="e">
        <f ca="1">IF(G16="Всього:",SUM($M$5:M15),IF($E$5="UAH",J16+L16+K16,J16+K16))</f>
        <v>#VALUE!</v>
      </c>
      <c r="N16" s="27" t="str">
        <f ca="1">IF(G16="Всього:",SUM($N$4:N15),IF($E$5="UAH","",L16))</f>
        <v/>
      </c>
      <c r="O16" s="25" t="e">
        <f t="shared" ca="1" si="0"/>
        <v>#DIV/0!</v>
      </c>
      <c r="P16" s="33">
        <f t="shared" ca="1" si="1"/>
        <v>46546</v>
      </c>
      <c r="Q16" s="8" t="e">
        <f t="shared" ca="1" si="4"/>
        <v>#VALUE!</v>
      </c>
      <c r="X16" s="38">
        <v>0.3</v>
      </c>
      <c r="Y16" s="39">
        <v>0.5031669795513154</v>
      </c>
      <c r="Z16" s="39">
        <v>0.41802856326103222</v>
      </c>
      <c r="AA16" s="39">
        <v>0.38184147477149966</v>
      </c>
      <c r="AB16" s="39">
        <v>0.36427369713783264</v>
      </c>
      <c r="AC16" s="39">
        <v>0.34234673380851743</v>
      </c>
    </row>
    <row r="17" spans="1:36" s="8" customFormat="1" ht="13.2" x14ac:dyDescent="0.25">
      <c r="A17" s="11"/>
      <c r="B17" s="11"/>
      <c r="D17" s="33"/>
      <c r="F17" s="34" t="str">
        <f t="shared" ca="1" si="2"/>
        <v/>
      </c>
      <c r="G17" s="23">
        <f t="shared" ca="1" si="5"/>
        <v>46576</v>
      </c>
      <c r="H17" s="24" t="str">
        <f t="shared" si="3"/>
        <v/>
      </c>
      <c r="I17" s="25" t="e">
        <f ca="1">IF($G17="Всього:",SUM($I$4:I16),MAX($C$32,K17))</f>
        <v>#VALUE!</v>
      </c>
      <c r="J17" s="25" t="e">
        <f ca="1">IF($G17="Всього:",SUM($J$4:J16),IF(I17-SUM(K17:L17)&lt;0,0,I17-SUM(K17:L17)))</f>
        <v>#VALUE!</v>
      </c>
      <c r="K17" s="25" t="e">
        <f ca="1">IF(G17="Всього:",SUM($K$5:K16),F17*O16/36000*(G17-G16))</f>
        <v>#VALUE!</v>
      </c>
      <c r="L17" s="25" t="e">
        <f ca="1">IF(G17="Всього:",SUM($L$5:L16),$E$4)</f>
        <v>#DIV/0!</v>
      </c>
      <c r="M17" s="25" t="e">
        <f ca="1">IF(G17="Всього:",SUM($M$5:M16),IF($E$5="UAH",J17+L17+K17,J17+K17))</f>
        <v>#VALUE!</v>
      </c>
      <c r="N17" s="27" t="str">
        <f ca="1">IF(G17="Всього:",SUM($N$4:N16),IF($E$5="UAH","",L17))</f>
        <v/>
      </c>
      <c r="O17" s="25" t="e">
        <f t="shared" ca="1" si="0"/>
        <v>#DIV/0!</v>
      </c>
      <c r="P17" s="33">
        <f t="shared" ca="1" si="1"/>
        <v>46576</v>
      </c>
      <c r="Q17" s="8" t="e">
        <f t="shared" ca="1" si="4"/>
        <v>#VALUE!</v>
      </c>
      <c r="R17" s="8" t="str">
        <f>IF(E8&gt;H17,$AA$7*0.9*5.48%,"")</f>
        <v/>
      </c>
      <c r="X17" s="38">
        <v>0.4</v>
      </c>
      <c r="Y17" s="39">
        <v>0.58652825951576248</v>
      </c>
      <c r="Z17" s="39">
        <v>0.47590692639350884</v>
      </c>
      <c r="AA17" s="39">
        <v>0.4290104568004609</v>
      </c>
      <c r="AB17" s="39">
        <v>0.40521309971809383</v>
      </c>
      <c r="AC17" s="39">
        <v>0.37881106734275816</v>
      </c>
    </row>
    <row r="18" spans="1:36" s="8" customFormat="1" ht="13.2" x14ac:dyDescent="0.25">
      <c r="A18" s="59" t="s">
        <v>467</v>
      </c>
      <c r="B18" s="12">
        <v>0</v>
      </c>
      <c r="C18" s="8" t="s">
        <v>468</v>
      </c>
      <c r="D18" s="33"/>
      <c r="F18" s="34" t="str">
        <f t="shared" ca="1" si="2"/>
        <v/>
      </c>
      <c r="G18" s="23">
        <f t="shared" ca="1" si="5"/>
        <v>46607</v>
      </c>
      <c r="H18" s="24" t="str">
        <f t="shared" si="3"/>
        <v/>
      </c>
      <c r="I18" s="25" t="e">
        <f ca="1">IF($G18="Всього:",SUM($I$4:I17),MAX($C$32,K18))</f>
        <v>#VALUE!</v>
      </c>
      <c r="J18" s="25" t="e">
        <f ca="1">IF($G18="Всього:",SUM($J$4:J17),IF(I18-SUM(K18:L18)&lt;0,0,I18-SUM(K18:L18)))</f>
        <v>#VALUE!</v>
      </c>
      <c r="K18" s="25" t="e">
        <f ca="1">IF(G18="Всього:",SUM($K$5:K17),F18*O17/36000*(G18-G17))</f>
        <v>#VALUE!</v>
      </c>
      <c r="L18" s="25" t="e">
        <f ca="1">IF(G18="Всього:",SUM($L$5:L17),$E$4)</f>
        <v>#DIV/0!</v>
      </c>
      <c r="M18" s="25" t="e">
        <f ca="1">IF(G18="Всього:",SUM($M$5:M17),IF($E$5="UAH",J18+L18+K18,J18+K18))</f>
        <v>#VALUE!</v>
      </c>
      <c r="N18" s="27" t="str">
        <f ca="1">IF(G18="Всього:",SUM($N$4:N17),IF($E$5="UAH","",L18))</f>
        <v/>
      </c>
      <c r="O18" s="25" t="e">
        <f t="shared" ca="1" si="0"/>
        <v>#DIV/0!</v>
      </c>
      <c r="P18" s="33">
        <f t="shared" ca="1" si="1"/>
        <v>46607</v>
      </c>
      <c r="Q18" s="8" t="e">
        <f t="shared" ca="1" si="4"/>
        <v>#VALUE!</v>
      </c>
      <c r="X18" s="38">
        <v>0.5</v>
      </c>
      <c r="Y18" s="39">
        <v>0.68025726675987241</v>
      </c>
      <c r="Z18" s="39">
        <v>0.5324063837528229</v>
      </c>
      <c r="AA18" s="39">
        <v>0.47051922678947455</v>
      </c>
      <c r="AB18" s="39">
        <v>0.4450954377651215</v>
      </c>
      <c r="AC18" s="39">
        <v>0.41931223273277296</v>
      </c>
      <c r="AE18" s="12"/>
      <c r="AF18" s="12">
        <v>12</v>
      </c>
      <c r="AG18" s="12">
        <v>24</v>
      </c>
      <c r="AH18" s="12">
        <v>36</v>
      </c>
      <c r="AI18" s="12">
        <v>48</v>
      </c>
      <c r="AJ18" s="12">
        <v>60</v>
      </c>
    </row>
    <row r="19" spans="1:36" s="8" customFormat="1" ht="13.2" x14ac:dyDescent="0.25">
      <c r="A19" s="59" t="s">
        <v>466</v>
      </c>
      <c r="B19" s="59">
        <v>0</v>
      </c>
      <c r="C19" s="11"/>
      <c r="D19" s="11"/>
      <c r="E19" s="11"/>
      <c r="F19" s="34" t="str">
        <f t="shared" ca="1" si="2"/>
        <v/>
      </c>
      <c r="G19" s="23">
        <f t="shared" ca="1" si="5"/>
        <v>46638</v>
      </c>
      <c r="H19" s="24" t="str">
        <f t="shared" si="3"/>
        <v/>
      </c>
      <c r="I19" s="25" t="e">
        <f ca="1">IF($G19="Всього:",SUM($I$4:I18),MAX($C$32,K19))</f>
        <v>#VALUE!</v>
      </c>
      <c r="J19" s="25" t="e">
        <f ca="1">IF($G19="Всього:",SUM($J$4:J18),IF(I19-SUM(K19:L19)&lt;0,0,I19-SUM(K19:L19)))</f>
        <v>#VALUE!</v>
      </c>
      <c r="K19" s="25" t="e">
        <f ca="1">IF(G19="Всього:",SUM($K$5:K18),F19*O18/36000*(G19-G18))</f>
        <v>#VALUE!</v>
      </c>
      <c r="L19" s="25" t="e">
        <f ca="1">IF(G19="Всього:",SUM($L$5:L18),$E$4)</f>
        <v>#DIV/0!</v>
      </c>
      <c r="M19" s="25" t="e">
        <f ca="1">IF(G19="Всього:",SUM($M$5:M18),IF($E$5="UAH",J19+L19+K19,J19+K19))</f>
        <v>#VALUE!</v>
      </c>
      <c r="N19" s="27" t="str">
        <f ca="1">IF(G19="Всього:",SUM($N$4:N18),IF($E$5="UAH","",L19))</f>
        <v/>
      </c>
      <c r="O19" s="25" t="e">
        <f t="shared" ca="1" si="0"/>
        <v>#DIV/0!</v>
      </c>
      <c r="P19" s="33">
        <f t="shared" ca="1" si="1"/>
        <v>46638</v>
      </c>
      <c r="Q19" s="8" t="e">
        <f t="shared" ca="1" si="4"/>
        <v>#VALUE!</v>
      </c>
      <c r="X19" s="38">
        <v>0.6</v>
      </c>
      <c r="Y19" s="39">
        <v>0.90652958154678331</v>
      </c>
      <c r="Z19" s="39">
        <v>0.67983477711677565</v>
      </c>
      <c r="AA19" s="39">
        <v>0.58729538321495067</v>
      </c>
      <c r="AB19" s="39">
        <v>0.54553504586219803</v>
      </c>
      <c r="AC19" s="39">
        <v>0.50855534672737124</v>
      </c>
      <c r="AE19" s="38">
        <v>0.3</v>
      </c>
      <c r="AF19" s="39">
        <f>Y16-Y23</f>
        <v>7.8902566432953403E-2</v>
      </c>
      <c r="AG19" s="39">
        <f t="shared" ref="AG19:AJ23" si="6">Z16-Z23</f>
        <v>0.41802856326103222</v>
      </c>
      <c r="AH19" s="39">
        <f t="shared" si="6"/>
        <v>0.38184147477149966</v>
      </c>
      <c r="AI19" s="39">
        <f t="shared" si="6"/>
        <v>0.36427369713783264</v>
      </c>
      <c r="AJ19" s="39">
        <f t="shared" si="6"/>
        <v>0.34234673380851743</v>
      </c>
    </row>
    <row r="20" spans="1:36" s="8" customFormat="1" ht="13.2" x14ac:dyDescent="0.25">
      <c r="A20" s="11"/>
      <c r="B20" s="11"/>
      <c r="C20" s="11"/>
      <c r="D20" s="11"/>
      <c r="E20" s="11"/>
      <c r="F20" s="34" t="str">
        <f t="shared" ca="1" si="2"/>
        <v/>
      </c>
      <c r="G20" s="23">
        <f t="shared" ca="1" si="5"/>
        <v>46668</v>
      </c>
      <c r="H20" s="24" t="str">
        <f t="shared" si="3"/>
        <v/>
      </c>
      <c r="I20" s="25" t="e">
        <f ca="1">IF($G20="Всього:",SUM($I$4:I19),MAX($C$32,K20))</f>
        <v>#VALUE!</v>
      </c>
      <c r="J20" s="25" t="e">
        <f ca="1">IF($G20="Всього:",SUM($J$4:J19),IF(I20-SUM(K20:L20)&lt;0,0,I20-SUM(K20:L20)))</f>
        <v>#VALUE!</v>
      </c>
      <c r="K20" s="25" t="e">
        <f ca="1">IF(G20="Всього:",SUM($K$5:K19),F20*O19/36000*(G20-G19))</f>
        <v>#VALUE!</v>
      </c>
      <c r="L20" s="25" t="e">
        <f ca="1">IF(G20="Всього:",SUM($L$5:L19),$E$4)</f>
        <v>#DIV/0!</v>
      </c>
      <c r="M20" s="25" t="e">
        <f ca="1">IF(G20="Всього:",SUM($M$5:M19),IF($E$5="UAH",J20+L20+K20,J20+K20))</f>
        <v>#VALUE!</v>
      </c>
      <c r="N20" s="27" t="str">
        <f ca="1">IF(G20="Всього:",SUM($N$4:N19),IF($E$5="UAH","",L20))</f>
        <v/>
      </c>
      <c r="O20" s="25" t="e">
        <f t="shared" ca="1" si="0"/>
        <v>#DIV/0!</v>
      </c>
      <c r="P20" s="33">
        <f t="shared" ca="1" si="1"/>
        <v>46668</v>
      </c>
      <c r="Q20" s="8" t="e">
        <f t="shared" ca="1" si="4"/>
        <v>#VALUE!</v>
      </c>
      <c r="S20" s="8">
        <v>1000000</v>
      </c>
      <c r="T20" s="37">
        <v>0.6</v>
      </c>
      <c r="U20" s="36">
        <v>1.3134657263755802</v>
      </c>
      <c r="X20" s="39">
        <v>0.7</v>
      </c>
      <c r="Y20" s="39">
        <v>1.4162575364112855</v>
      </c>
      <c r="Z20" s="39">
        <v>0.98824604749679579</v>
      </c>
      <c r="AA20" s="39">
        <v>0.82415474653244014</v>
      </c>
      <c r="AB20" s="39">
        <v>0.74648195505142212</v>
      </c>
      <c r="AC20" s="39">
        <v>0.68604734539985657</v>
      </c>
      <c r="AE20" s="38">
        <v>0.4</v>
      </c>
      <c r="AF20" s="39">
        <f t="shared" ref="AF20:AF23" si="7">Y17-Y24</f>
        <v>0.58652825951576248</v>
      </c>
      <c r="AG20" s="39">
        <f t="shared" si="6"/>
        <v>0.47590692639350884</v>
      </c>
      <c r="AH20" s="39">
        <f t="shared" si="6"/>
        <v>0.4290104568004609</v>
      </c>
      <c r="AI20" s="39">
        <f t="shared" si="6"/>
        <v>0.40521309971809383</v>
      </c>
      <c r="AJ20" s="39">
        <f t="shared" si="6"/>
        <v>0.37881106734275816</v>
      </c>
    </row>
    <row r="21" spans="1:36" s="8" customFormat="1" ht="13.2" x14ac:dyDescent="0.25">
      <c r="A21" s="11"/>
      <c r="B21" s="11"/>
      <c r="C21" s="11"/>
      <c r="D21" s="11"/>
      <c r="E21" s="11"/>
      <c r="F21" s="34" t="str">
        <f t="shared" ca="1" si="2"/>
        <v/>
      </c>
      <c r="G21" s="23">
        <f t="shared" ca="1" si="5"/>
        <v>46699</v>
      </c>
      <c r="H21" s="24" t="str">
        <f t="shared" si="3"/>
        <v/>
      </c>
      <c r="I21" s="25" t="e">
        <f ca="1">IF($G21="Всього:",SUM($I$4:I20),MAX($C$32,K21))</f>
        <v>#VALUE!</v>
      </c>
      <c r="J21" s="25" t="e">
        <f ca="1">IF($G21="Всього:",SUM($J$4:J20),IF(I21-SUM(K21:L21)&lt;0,0,I21-SUM(K21:L21)))</f>
        <v>#VALUE!</v>
      </c>
      <c r="K21" s="25" t="e">
        <f ca="1">IF(G21="Всього:",SUM($K$5:K20),F21*O20/36000*(G21-G20))</f>
        <v>#VALUE!</v>
      </c>
      <c r="L21" s="25" t="e">
        <f ca="1">IF(G21="Всього:",SUM($L$5:L20),$E$4)</f>
        <v>#DIV/0!</v>
      </c>
      <c r="M21" s="25" t="e">
        <f ca="1">IF(G21="Всього:",SUM($M$5:M20),IF($E$5="UAH",J21+L21+K21,J21+K21))</f>
        <v>#VALUE!</v>
      </c>
      <c r="N21" s="27" t="str">
        <f ca="1">IF(G21="Всього:",SUM($N$4:N20),IF($E$5="UAH","",L21))</f>
        <v/>
      </c>
      <c r="O21" s="25" t="e">
        <f t="shared" ca="1" si="0"/>
        <v>#DIV/0!</v>
      </c>
      <c r="P21" s="33">
        <f t="shared" ca="1" si="1"/>
        <v>46699</v>
      </c>
      <c r="Q21" s="8" t="e">
        <f t="shared" ca="1" si="4"/>
        <v>#VALUE!</v>
      </c>
      <c r="S21" s="8">
        <v>1000000</v>
      </c>
      <c r="T21" s="37">
        <v>0.7</v>
      </c>
      <c r="U21" s="36">
        <v>2.0895696401596076</v>
      </c>
      <c r="X21" s="8">
        <v>100000</v>
      </c>
      <c r="AE21" s="38">
        <v>0.5</v>
      </c>
      <c r="AF21" s="39">
        <f t="shared" si="7"/>
        <v>0.68025726675987241</v>
      </c>
      <c r="AG21" s="39">
        <f t="shared" si="6"/>
        <v>0.5324063837528229</v>
      </c>
      <c r="AH21" s="39">
        <f t="shared" si="6"/>
        <v>0.47051922678947455</v>
      </c>
      <c r="AI21" s="39">
        <f t="shared" si="6"/>
        <v>0.4450954377651215</v>
      </c>
      <c r="AJ21" s="39">
        <f t="shared" si="6"/>
        <v>0.41931223273277296</v>
      </c>
    </row>
    <row r="22" spans="1:36" s="8" customFormat="1" ht="13.2" x14ac:dyDescent="0.25">
      <c r="A22" s="11"/>
      <c r="B22" s="11"/>
      <c r="C22" s="11"/>
      <c r="D22" s="11"/>
      <c r="E22" s="11"/>
      <c r="F22" s="34" t="str">
        <f t="shared" ca="1" si="2"/>
        <v/>
      </c>
      <c r="G22" s="23">
        <f t="shared" ca="1" si="5"/>
        <v>46729</v>
      </c>
      <c r="H22" s="24" t="str">
        <f t="shared" si="3"/>
        <v/>
      </c>
      <c r="I22" s="25" t="e">
        <f ca="1">IF($G22="Всього:",SUM($I$4:I21),MAX($C$32,K22))</f>
        <v>#VALUE!</v>
      </c>
      <c r="J22" s="25" t="e">
        <f ca="1">IF($G22="Всього:",SUM($J$4:J21),IF(I22-SUM(K22:L22)&lt;0,0,I22-SUM(K22:L22)))</f>
        <v>#VALUE!</v>
      </c>
      <c r="K22" s="25" t="e">
        <f ca="1">IF(G22="Всього:",SUM($K$5:K21),F22*O21/36000*(G22-G21))</f>
        <v>#VALUE!</v>
      </c>
      <c r="L22" s="25" t="e">
        <f ca="1">IF(G22="Всього:",SUM($L$5:L21),$E$4)</f>
        <v>#DIV/0!</v>
      </c>
      <c r="M22" s="25" t="e">
        <f ca="1">IF(G22="Всього:",SUM($M$5:M21),IF($E$5="UAH",J22+L22+K22,J22+K22))</f>
        <v>#VALUE!</v>
      </c>
      <c r="N22" s="27" t="str">
        <f ca="1">IF(G22="Всього:",SUM($N$4:N21),IF($E$5="UAH","",L22))</f>
        <v/>
      </c>
      <c r="O22" s="25" t="e">
        <f t="shared" ca="1" si="0"/>
        <v>#DIV/0!</v>
      </c>
      <c r="P22" s="33">
        <f t="shared" ca="1" si="1"/>
        <v>46729</v>
      </c>
      <c r="Q22" s="8" t="e">
        <f t="shared" ca="1" si="4"/>
        <v>#VALUE!</v>
      </c>
      <c r="S22" s="8">
        <v>800000</v>
      </c>
      <c r="T22" s="37">
        <v>0.6</v>
      </c>
      <c r="U22" s="36">
        <v>1.1979806542396547</v>
      </c>
      <c r="X22" s="12"/>
      <c r="Y22" s="12">
        <v>12</v>
      </c>
      <c r="Z22" s="12">
        <v>24</v>
      </c>
      <c r="AA22" s="12">
        <v>36</v>
      </c>
      <c r="AB22" s="12">
        <v>48</v>
      </c>
      <c r="AC22" s="12">
        <v>60</v>
      </c>
      <c r="AE22" s="38">
        <v>0.6</v>
      </c>
      <c r="AF22" s="39">
        <f t="shared" si="7"/>
        <v>0.90652958154678331</v>
      </c>
      <c r="AG22" s="39">
        <f t="shared" si="6"/>
        <v>0.67983477711677565</v>
      </c>
      <c r="AH22" s="39">
        <f t="shared" si="6"/>
        <v>0.58729538321495067</v>
      </c>
      <c r="AI22" s="39">
        <f t="shared" si="6"/>
        <v>0.54553504586219803</v>
      </c>
      <c r="AJ22" s="39">
        <f t="shared" si="6"/>
        <v>0.50855534672737124</v>
      </c>
    </row>
    <row r="23" spans="1:36" s="8" customFormat="1" ht="13.2" x14ac:dyDescent="0.25">
      <c r="A23" s="11"/>
      <c r="B23" s="11"/>
      <c r="C23" s="11"/>
      <c r="D23" s="11"/>
      <c r="E23" s="11"/>
      <c r="F23" s="34" t="str">
        <f t="shared" ca="1" si="2"/>
        <v/>
      </c>
      <c r="G23" s="23">
        <f t="shared" ca="1" si="5"/>
        <v>46760</v>
      </c>
      <c r="H23" s="24" t="str">
        <f t="shared" si="3"/>
        <v/>
      </c>
      <c r="I23" s="25" t="e">
        <f ca="1">IF($G23="Всього:",SUM($I$4:I22),MAX($C$32,K23))</f>
        <v>#VALUE!</v>
      </c>
      <c r="J23" s="25" t="e">
        <f ca="1">IF($G23="Всього:",SUM($J$4:J22),IF(I23-SUM(K23:L23)&lt;0,0,I23-SUM(K23:L23)))</f>
        <v>#VALUE!</v>
      </c>
      <c r="K23" s="25" t="e">
        <f ca="1">IF(G23="Всього:",SUM($K$5:K22),F23*O22/36000*(G23-G22))</f>
        <v>#VALUE!</v>
      </c>
      <c r="L23" s="25" t="e">
        <f ca="1">IF(G23="Всього:",SUM($L$5:L22),$E$4)</f>
        <v>#DIV/0!</v>
      </c>
      <c r="M23" s="25" t="e">
        <f ca="1">IF(G23="Всього:",SUM($M$5:M22),IF($E$5="UAH",J23+L23+K23,J23+K23))</f>
        <v>#VALUE!</v>
      </c>
      <c r="N23" s="27" t="str">
        <f ca="1">IF(G23="Всього:",SUM($N$4:N22),IF($E$5="UAH","",L23))</f>
        <v/>
      </c>
      <c r="O23" s="25" t="e">
        <f t="shared" ca="1" si="0"/>
        <v>#DIV/0!</v>
      </c>
      <c r="P23" s="33">
        <f t="shared" ca="1" si="1"/>
        <v>46760</v>
      </c>
      <c r="Q23" s="8" t="e">
        <f t="shared" ca="1" si="4"/>
        <v>#VALUE!</v>
      </c>
      <c r="S23" s="8">
        <v>800000</v>
      </c>
      <c r="T23" s="37">
        <v>0.7</v>
      </c>
      <c r="U23" s="36">
        <v>1.8118246674537661</v>
      </c>
      <c r="X23" s="38">
        <v>0.3</v>
      </c>
      <c r="Y23" s="39">
        <v>0.42426441311836199</v>
      </c>
      <c r="Z23" s="39"/>
      <c r="AA23" s="39"/>
      <c r="AB23" s="39"/>
      <c r="AC23" s="39"/>
      <c r="AE23" s="39">
        <v>0.7</v>
      </c>
      <c r="AF23" s="39">
        <f t="shared" si="7"/>
        <v>0.37253518104553218</v>
      </c>
      <c r="AG23" s="39">
        <f t="shared" si="6"/>
        <v>0.98824604749679579</v>
      </c>
      <c r="AH23" s="39">
        <f t="shared" si="6"/>
        <v>0.82415474653244014</v>
      </c>
      <c r="AI23" s="39">
        <f t="shared" si="6"/>
        <v>0.74648195505142212</v>
      </c>
      <c r="AJ23" s="39">
        <f t="shared" si="6"/>
        <v>0.68604734539985657</v>
      </c>
    </row>
    <row r="24" spans="1:36" s="8" customFormat="1" ht="13.2" x14ac:dyDescent="0.25">
      <c r="A24" s="11"/>
      <c r="B24" s="11"/>
      <c r="C24" s="11"/>
      <c r="D24" s="11"/>
      <c r="E24" s="11"/>
      <c r="F24" s="34" t="str">
        <f t="shared" ca="1" si="2"/>
        <v/>
      </c>
      <c r="G24" s="23">
        <f t="shared" ca="1" si="5"/>
        <v>46791</v>
      </c>
      <c r="H24" s="24" t="str">
        <f t="shared" si="3"/>
        <v/>
      </c>
      <c r="I24" s="25" t="e">
        <f ca="1">IF($G24="Всього:",SUM($I$4:I23),MAX($C$32,K24))</f>
        <v>#VALUE!</v>
      </c>
      <c r="J24" s="25" t="e">
        <f ca="1">IF($G24="Всього:",SUM($J$4:J23),IF(I24-SUM(K24:L24)&lt;0,0,I24-SUM(K24:L24)))</f>
        <v>#VALUE!</v>
      </c>
      <c r="K24" s="25" t="e">
        <f ca="1">IF(G24="Всього:",SUM($K$5:K23),F24*O23/36000*(G24-G23))</f>
        <v>#VALUE!</v>
      </c>
      <c r="L24" s="25" t="e">
        <f ca="1">IF(G24="Всього:",SUM($L$5:L23),$E$4)</f>
        <v>#DIV/0!</v>
      </c>
      <c r="M24" s="25" t="e">
        <f ca="1">IF(G24="Всього:",SUM($M$5:M23),IF($E$5="UAH",J24+L24+K24,J24+K24))</f>
        <v>#VALUE!</v>
      </c>
      <c r="N24" s="27" t="str">
        <f ca="1">IF(G24="Всього:",SUM($N$4:N23),IF($E$5="UAH","",L24))</f>
        <v/>
      </c>
      <c r="O24" s="25" t="e">
        <f t="shared" ca="1" si="0"/>
        <v>#DIV/0!</v>
      </c>
      <c r="P24" s="33">
        <f t="shared" ca="1" si="1"/>
        <v>46791</v>
      </c>
      <c r="Q24" s="8" t="e">
        <f t="shared" ca="1" si="4"/>
        <v>#VALUE!</v>
      </c>
      <c r="S24" s="32"/>
      <c r="X24" s="38">
        <v>0.4</v>
      </c>
      <c r="Y24" s="39"/>
      <c r="Z24" s="39"/>
      <c r="AA24" s="39"/>
      <c r="AB24" s="39"/>
      <c r="AC24" s="39"/>
    </row>
    <row r="25" spans="1:36" s="8" customFormat="1" ht="13.2" x14ac:dyDescent="0.25">
      <c r="A25" s="11"/>
      <c r="B25" s="11"/>
      <c r="C25" s="11"/>
      <c r="D25" s="11"/>
      <c r="E25" s="11"/>
      <c r="F25" s="34" t="str">
        <f t="shared" ca="1" si="2"/>
        <v/>
      </c>
      <c r="G25" s="23">
        <f t="shared" ca="1" si="5"/>
        <v>46820</v>
      </c>
      <c r="H25" s="24" t="str">
        <f t="shared" si="3"/>
        <v/>
      </c>
      <c r="I25" s="25" t="e">
        <f ca="1">IF($G25="Всього:",SUM($I$4:I24),MAX($C$32,K25))</f>
        <v>#VALUE!</v>
      </c>
      <c r="J25" s="25" t="e">
        <f ca="1">IF($G25="Всього:",SUM($J$4:J24),IF(I25-SUM(K25:L25)&lt;0,0,I25-SUM(K25:L25)))</f>
        <v>#VALUE!</v>
      </c>
      <c r="K25" s="25" t="e">
        <f ca="1">IF(G25="Всього:",SUM($K$5:K24),F25*O24/36000*(G25-G24))</f>
        <v>#VALUE!</v>
      </c>
      <c r="L25" s="25" t="e">
        <f ca="1">IF(G25="Всього:",SUM($L$5:L24),$E$4)</f>
        <v>#DIV/0!</v>
      </c>
      <c r="M25" s="25" t="e">
        <f ca="1">IF(G25="Всього:",SUM($M$5:M24),IF($E$5="UAH",J25+L25+K25,J25+K25))</f>
        <v>#VALUE!</v>
      </c>
      <c r="N25" s="27" t="str">
        <f ca="1">IF(G25="Всього:",SUM($N$4:N24),IF($E$5="UAH","",L25))</f>
        <v/>
      </c>
      <c r="O25" s="25" t="e">
        <f t="shared" ca="1" si="0"/>
        <v>#DIV/0!</v>
      </c>
      <c r="P25" s="33">
        <f t="shared" ca="1" si="1"/>
        <v>46820</v>
      </c>
      <c r="Q25" s="8" t="e">
        <f t="shared" ca="1" si="4"/>
        <v>#VALUE!</v>
      </c>
      <c r="X25" s="38">
        <v>0.5</v>
      </c>
      <c r="Y25" s="39"/>
      <c r="Z25" s="39"/>
      <c r="AA25" s="39"/>
      <c r="AB25" s="39"/>
      <c r="AC25" s="39"/>
    </row>
    <row r="26" spans="1:36" s="8" customFormat="1" ht="13.2" x14ac:dyDescent="0.25">
      <c r="A26" s="11"/>
      <c r="B26" s="11"/>
      <c r="C26" s="11"/>
      <c r="D26" s="11"/>
      <c r="E26" s="11"/>
      <c r="F26" s="34" t="str">
        <f t="shared" ca="1" si="2"/>
        <v/>
      </c>
      <c r="G26" s="23">
        <f t="shared" ca="1" si="5"/>
        <v>46851</v>
      </c>
      <c r="H26" s="24" t="str">
        <f t="shared" si="3"/>
        <v/>
      </c>
      <c r="I26" s="25" t="e">
        <f ca="1">IF($G26="Всього:",SUM($I$4:I25),MAX($C$32,K26))</f>
        <v>#VALUE!</v>
      </c>
      <c r="J26" s="25" t="e">
        <f ca="1">IF($G26="Всього:",SUM($J$4:J25),IF(I26-SUM(K26:L26)&lt;0,0,I26-SUM(K26:L26)))</f>
        <v>#VALUE!</v>
      </c>
      <c r="K26" s="25" t="e">
        <f ca="1">IF(G26="Всього:",SUM($K$5:K25),F26*O25/36000*(G26-G25))</f>
        <v>#VALUE!</v>
      </c>
      <c r="L26" s="25" t="e">
        <f ca="1">IF(G26="Всього:",SUM($L$5:L25),$E$4)</f>
        <v>#DIV/0!</v>
      </c>
      <c r="M26" s="25" t="e">
        <f ca="1">IF(G26="Всього:",SUM($M$5:M25),IF($E$5="UAH",J26+L26+K26,J26+K26))</f>
        <v>#VALUE!</v>
      </c>
      <c r="N26" s="27" t="str">
        <f ca="1">IF(G26="Всього:",SUM($N$4:N25),IF($E$5="UAH","",L26))</f>
        <v/>
      </c>
      <c r="O26" s="25" t="e">
        <f t="shared" ca="1" si="0"/>
        <v>#DIV/0!</v>
      </c>
      <c r="P26" s="33">
        <f t="shared" ca="1" si="1"/>
        <v>46851</v>
      </c>
      <c r="Q26" s="8" t="e">
        <f t="shared" ca="1" si="4"/>
        <v>#VALUE!</v>
      </c>
      <c r="X26" s="38">
        <v>0.6</v>
      </c>
      <c r="Y26" s="39"/>
      <c r="Z26" s="39"/>
      <c r="AA26" s="39"/>
      <c r="AB26" s="39"/>
      <c r="AC26" s="39"/>
    </row>
    <row r="27" spans="1:36" s="8" customFormat="1" ht="13.2" x14ac:dyDescent="0.25">
      <c r="A27" s="11"/>
      <c r="B27" s="11"/>
      <c r="C27" s="11"/>
      <c r="D27" s="11"/>
      <c r="E27" s="11"/>
      <c r="F27" s="34" t="str">
        <f t="shared" ca="1" si="2"/>
        <v/>
      </c>
      <c r="G27" s="23">
        <f t="shared" ca="1" si="5"/>
        <v>46881</v>
      </c>
      <c r="H27" s="24" t="str">
        <f t="shared" si="3"/>
        <v/>
      </c>
      <c r="I27" s="25" t="e">
        <f ca="1">IF($G27="Всього:",SUM($I$4:I26),MAX($C$32,K27))</f>
        <v>#VALUE!</v>
      </c>
      <c r="J27" s="25" t="e">
        <f ca="1">IF($G27="Всього:",SUM($J$4:J26),IF(I27-SUM(K27:L27)&lt;0,0,I27-SUM(K27:L27)))</f>
        <v>#VALUE!</v>
      </c>
      <c r="K27" s="25" t="e">
        <f ca="1">IF(G27="Всього:",SUM($K$5:K26),F27*O26/36000*(G27-G26))</f>
        <v>#VALUE!</v>
      </c>
      <c r="L27" s="25" t="e">
        <f ca="1">IF(G27="Всього:",SUM($L$5:L26),$E$4)</f>
        <v>#DIV/0!</v>
      </c>
      <c r="M27" s="25" t="e">
        <f ca="1">IF(G27="Всього:",SUM($M$5:M26),IF($E$5="UAH",J27+L27+K27,J27+K27))</f>
        <v>#VALUE!</v>
      </c>
      <c r="N27" s="27" t="str">
        <f ca="1">IF(G27="Всього:",SUM($N$4:N26),IF($E$5="UAH","",L27))</f>
        <v/>
      </c>
      <c r="O27" s="25" t="e">
        <f t="shared" ca="1" si="0"/>
        <v>#DIV/0!</v>
      </c>
      <c r="P27" s="33">
        <f t="shared" ca="1" si="1"/>
        <v>46881</v>
      </c>
      <c r="Q27" s="8" t="e">
        <f t="shared" ca="1" si="4"/>
        <v>#VALUE!</v>
      </c>
      <c r="X27" s="39">
        <v>0.7</v>
      </c>
      <c r="Y27" s="39">
        <v>1.0437223553657533</v>
      </c>
      <c r="Z27" s="39"/>
      <c r="AA27" s="39"/>
      <c r="AB27" s="39"/>
      <c r="AC27" s="39"/>
      <c r="AG27" s="40"/>
    </row>
    <row r="28" spans="1:36" s="8" customFormat="1" ht="13.2" x14ac:dyDescent="0.25">
      <c r="F28" s="34" t="str">
        <f t="shared" ca="1" si="2"/>
        <v/>
      </c>
      <c r="G28" s="23">
        <f ca="1">IF(H27=$E$3,"Всього:",IF($E$3=H28,$B$14,DATE(YEAR(G27),MONTH(G27)+1,IF($B$7&lt;&gt;"",DAY(IF($B$7&gt;DAY(EOMONTH(G27,1)),EOMONTH(G27,1),$B$7)),DAY(1)))))</f>
        <v>46912</v>
      </c>
      <c r="H28" s="24" t="str">
        <f t="shared" si="3"/>
        <v/>
      </c>
      <c r="I28" s="25">
        <v>33016.529340613146</v>
      </c>
      <c r="J28" s="25" t="e">
        <f ca="1">IF($G28="Всього:",SUM($J$4:J27),IF(I28-SUM(K28:L28)&lt;0,0,I28-SUM(K28:L28)))</f>
        <v>#VALUE!</v>
      </c>
      <c r="K28" s="25" t="e">
        <f ca="1">IF(G28="Всього:",SUM($K$5:K27),F28*O27/36000*(G28-G27))</f>
        <v>#VALUE!</v>
      </c>
      <c r="L28" s="25" t="e">
        <f ca="1">IF(G28="Всього:",SUM($L$5:L27),$E$4)</f>
        <v>#DIV/0!</v>
      </c>
      <c r="M28" s="25" t="e">
        <f ca="1">IF(G28="Всього:",SUM($M$5:M27),IF($E$5="UAH",J28+L28+K28,J28+K28))</f>
        <v>#VALUE!</v>
      </c>
      <c r="N28" s="27" t="str">
        <f ca="1">IF(G28="Всього:",SUM($N$4:N27),IF($E$5="UAH","",L28))</f>
        <v/>
      </c>
      <c r="O28" s="25" t="e">
        <f t="shared" ca="1" si="0"/>
        <v>#DIV/0!</v>
      </c>
      <c r="P28" s="33">
        <f t="shared" ca="1" si="1"/>
        <v>46912</v>
      </c>
      <c r="Q28" s="8">
        <f t="shared" si="4"/>
        <v>33016.529340613146</v>
      </c>
      <c r="Y28" s="39">
        <v>0.63834061026573197</v>
      </c>
    </row>
    <row r="29" spans="1:36" s="8" customFormat="1" ht="13.2" x14ac:dyDescent="0.25">
      <c r="F29" s="34" t="str">
        <f t="shared" ca="1" si="2"/>
        <v/>
      </c>
      <c r="G29" s="23">
        <f t="shared" ca="1" si="5"/>
        <v>46942</v>
      </c>
      <c r="H29" s="24" t="str">
        <f>IF(H28&gt;$E$8,"",H28+1)</f>
        <v/>
      </c>
      <c r="I29" s="25" t="e">
        <f ca="1">IF($G29="Всього:",SUM($I$4:I28),MAX($C$32,K29))</f>
        <v>#VALUE!</v>
      </c>
      <c r="J29" s="25" t="e">
        <f ca="1">IF($G29="Всього:",SUM($J$4:J28),IF(I29-SUM(K29:L29)&lt;0,0,I29-SUM(K29:L29)))</f>
        <v>#VALUE!</v>
      </c>
      <c r="K29" s="25" t="e">
        <f ca="1">IF(G29="Всього:",SUM($K$5:K28),F29*O28/36000*(G29-G28))</f>
        <v>#VALUE!</v>
      </c>
      <c r="L29" s="25" t="e">
        <f ca="1">IF(G29="Всього:",SUM($L$5:L28),$E$4)</f>
        <v>#DIV/0!</v>
      </c>
      <c r="M29" s="25" t="e">
        <f ca="1">IF(G29="Всього:",SUM($M$5:M28),IF($E$5="UAH",J29+L29+K29,J29+K29))</f>
        <v>#VALUE!</v>
      </c>
      <c r="N29" s="27" t="str">
        <f ca="1">IF(G29="Всього:",SUM($N$4:N28),IF($E$5="UAH","",L29))</f>
        <v/>
      </c>
      <c r="O29" s="25" t="e">
        <f t="shared" ca="1" si="0"/>
        <v>#DIV/0!</v>
      </c>
      <c r="P29" s="33">
        <f t="shared" ca="1" si="1"/>
        <v>46942</v>
      </c>
      <c r="Q29" s="8" t="e">
        <f t="shared" ca="1" si="4"/>
        <v>#VALUE!</v>
      </c>
      <c r="R29" s="8" t="str">
        <f>IF(E8&gt;H28,$AA$7*0.9*0.9*5.48%,"")</f>
        <v/>
      </c>
    </row>
    <row r="30" spans="1:36" s="8" customFormat="1" ht="13.2" x14ac:dyDescent="0.25">
      <c r="F30" s="34" t="str">
        <f t="shared" ca="1" si="2"/>
        <v/>
      </c>
      <c r="G30" s="23">
        <f t="shared" ca="1" si="5"/>
        <v>46973</v>
      </c>
      <c r="H30" s="24" t="str">
        <f t="shared" si="3"/>
        <v/>
      </c>
      <c r="I30" s="25" t="e">
        <f ca="1">IF($G30="Всього:",SUM($I$4:I29),MAX($C$32,K30))</f>
        <v>#VALUE!</v>
      </c>
      <c r="J30" s="25" t="e">
        <f ca="1">IF($G30="Всього:",SUM($J$4:J29),IF(I30-SUM(K30:L30)&lt;0,0,I30-SUM(K30:L30)))</f>
        <v>#VALUE!</v>
      </c>
      <c r="K30" s="25" t="e">
        <f ca="1">IF(G30="Всього:",SUM($K$5:K29),F30*O29/36000*(G30-G29))</f>
        <v>#VALUE!</v>
      </c>
      <c r="L30" s="25" t="e">
        <f ca="1">IF(G30="Всього:",SUM($L$5:L29),$E$4)</f>
        <v>#DIV/0!</v>
      </c>
      <c r="M30" s="25" t="e">
        <f ca="1">IF(G30="Всього:",SUM($M$5:M29),IF($E$5="UAH",J30+L30+K30,J30+K30))</f>
        <v>#VALUE!</v>
      </c>
      <c r="N30" s="27" t="str">
        <f ca="1">IF(G30="Всього:",SUM($N$4:N29),IF($E$5="UAH","",L30))</f>
        <v/>
      </c>
      <c r="O30" s="25" t="e">
        <f t="shared" ca="1" si="0"/>
        <v>#DIV/0!</v>
      </c>
      <c r="P30" s="33">
        <f t="shared" ca="1" si="1"/>
        <v>46973</v>
      </c>
      <c r="Q30" s="8" t="e">
        <f t="shared" ca="1" si="4"/>
        <v>#VALUE!</v>
      </c>
    </row>
    <row r="31" spans="1:36" s="8" customFormat="1" ht="13.2" x14ac:dyDescent="0.25">
      <c r="F31" s="34" t="str">
        <f t="shared" ca="1" si="2"/>
        <v/>
      </c>
      <c r="G31" s="23">
        <f t="shared" ca="1" si="5"/>
        <v>47004</v>
      </c>
      <c r="H31" s="24" t="str">
        <f t="shared" si="3"/>
        <v/>
      </c>
      <c r="I31" s="25" t="e">
        <f ca="1">IF($G31="Всього:",SUM($I$4:I30),MAX($C$32,K31))</f>
        <v>#VALUE!</v>
      </c>
      <c r="J31" s="25" t="e">
        <f ca="1">IF($G31="Всього:",SUM($J$4:J30),IF(I31-SUM(K31:L31)&lt;0,0,I31-SUM(K31:L31)))</f>
        <v>#VALUE!</v>
      </c>
      <c r="K31" s="25" t="e">
        <f ca="1">IF(G31="Всього:",SUM($K$5:K30),F31*O30/36000*(G31-G30))</f>
        <v>#VALUE!</v>
      </c>
      <c r="L31" s="25" t="e">
        <f ca="1">IF(G31="Всього:",SUM($L$5:L30),$E$4)</f>
        <v>#DIV/0!</v>
      </c>
      <c r="M31" s="25" t="e">
        <f ca="1">IF(G31="Всього:",SUM($M$5:M30),IF($E$5="UAH",J31+L31+K31,J31+K31))</f>
        <v>#VALUE!</v>
      </c>
      <c r="N31" s="27" t="str">
        <f ca="1">IF(G31="Всього:",SUM($N$4:N30),IF($E$5="UAH","",L31))</f>
        <v/>
      </c>
      <c r="O31" s="25" t="e">
        <f t="shared" ca="1" si="0"/>
        <v>#DIV/0!</v>
      </c>
      <c r="P31" s="33">
        <f t="shared" ca="1" si="1"/>
        <v>47004</v>
      </c>
      <c r="Q31" s="8" t="e">
        <f t="shared" ca="1" si="4"/>
        <v>#VALUE!</v>
      </c>
    </row>
    <row r="32" spans="1:36" s="8" customFormat="1" ht="13.2" x14ac:dyDescent="0.25">
      <c r="A32" s="12" t="s">
        <v>336</v>
      </c>
      <c r="B32" s="26">
        <v>33005.426630397633</v>
      </c>
      <c r="C32" s="12">
        <v>33005</v>
      </c>
      <c r="D32" s="8" t="s">
        <v>345</v>
      </c>
      <c r="F32" s="34" t="str">
        <f t="shared" ca="1" si="2"/>
        <v/>
      </c>
      <c r="G32" s="23">
        <f t="shared" ca="1" si="5"/>
        <v>47034</v>
      </c>
      <c r="H32" s="24" t="str">
        <f t="shared" si="3"/>
        <v/>
      </c>
      <c r="I32" s="25" t="e">
        <f ca="1">IF($G32="Всього:",SUM($I$4:I31),MAX($C$32,K32))</f>
        <v>#VALUE!</v>
      </c>
      <c r="J32" s="25" t="e">
        <f ca="1">IF($G32="Всього:",SUM($J$4:J31),IF(I32-SUM(K32:L32)&lt;0,0,I32-SUM(K32:L32)))</f>
        <v>#VALUE!</v>
      </c>
      <c r="K32" s="25" t="e">
        <f ca="1">IF(G32="Всього:",SUM($K$5:K31),F32*O31/36000*(G32-G31))</f>
        <v>#VALUE!</v>
      </c>
      <c r="L32" s="25" t="e">
        <f ca="1">IF(G32="Всього:",SUM($L$5:L31),$E$4)</f>
        <v>#DIV/0!</v>
      </c>
      <c r="M32" s="25" t="e">
        <f ca="1">IF(G32="Всього:",SUM($M$5:M31),IF($E$5="UAH",J32+L32+K32,J32+K32))</f>
        <v>#VALUE!</v>
      </c>
      <c r="N32" s="27" t="str">
        <f ca="1">IF(G32="Всього:",SUM($N$4:N31),IF($E$5="UAH","",L32))</f>
        <v/>
      </c>
      <c r="O32" s="25" t="e">
        <f t="shared" ca="1" si="0"/>
        <v>#DIV/0!</v>
      </c>
      <c r="P32" s="33">
        <f t="shared" ca="1" si="1"/>
        <v>47034</v>
      </c>
      <c r="Q32" s="8" t="e">
        <f t="shared" ca="1" si="4"/>
        <v>#VALUE!</v>
      </c>
    </row>
    <row r="33" spans="1:18" s="8" customFormat="1" ht="13.2" x14ac:dyDescent="0.25">
      <c r="A33" s="12" t="s">
        <v>337</v>
      </c>
      <c r="B33" s="26">
        <v>33005.427061178612</v>
      </c>
      <c r="C33" s="12">
        <v>33016.529340613146</v>
      </c>
      <c r="D33" s="8" t="s">
        <v>359</v>
      </c>
      <c r="F33" s="34" t="str">
        <f t="shared" ca="1" si="2"/>
        <v/>
      </c>
      <c r="G33" s="23">
        <f t="shared" ca="1" si="5"/>
        <v>47065</v>
      </c>
      <c r="H33" s="24" t="str">
        <f t="shared" si="3"/>
        <v/>
      </c>
      <c r="I33" s="25" t="e">
        <f ca="1">IF($G33="Всього:",SUM($I$4:I32),MAX($C$32,K33))</f>
        <v>#VALUE!</v>
      </c>
      <c r="J33" s="25" t="e">
        <f ca="1">IF($G33="Всього:",SUM($J$4:J32),IF(I33-SUM(K33:L33)&lt;0,0,I33-SUM(K33:L33)))</f>
        <v>#VALUE!</v>
      </c>
      <c r="K33" s="25" t="e">
        <f ca="1">IF(G33="Всього:",SUM($K$5:K32),F33*O32/36000*(G33-G32))</f>
        <v>#VALUE!</v>
      </c>
      <c r="L33" s="25" t="e">
        <f ca="1">IF(G33="Всього:",SUM($L$5:L32),$E$4)</f>
        <v>#DIV/0!</v>
      </c>
      <c r="M33" s="25" t="e">
        <f ca="1">IF(G33="Всього:",SUM($M$5:M32),IF($E$5="UAH",J33+L33+K33,J33+K33))</f>
        <v>#VALUE!</v>
      </c>
      <c r="N33" s="27" t="str">
        <f ca="1">IF(G33="Всього:",SUM($N$4:N32),IF($E$5="UAH","",L33))</f>
        <v/>
      </c>
      <c r="O33" s="25" t="e">
        <f t="shared" ca="1" si="0"/>
        <v>#DIV/0!</v>
      </c>
      <c r="P33" s="33">
        <f t="shared" ca="1" si="1"/>
        <v>47065</v>
      </c>
      <c r="Q33" s="8" t="e">
        <f t="shared" ca="1" si="4"/>
        <v>#VALUE!</v>
      </c>
    </row>
    <row r="34" spans="1:18" s="8" customFormat="1" ht="13.2" x14ac:dyDescent="0.25">
      <c r="A34" s="12" t="s">
        <v>344</v>
      </c>
      <c r="B34" s="12">
        <v>33016.529340613146</v>
      </c>
      <c r="C34" s="12"/>
      <c r="F34" s="34" t="str">
        <f t="shared" ca="1" si="2"/>
        <v/>
      </c>
      <c r="G34" s="23">
        <f t="shared" ca="1" si="5"/>
        <v>47095</v>
      </c>
      <c r="H34" s="24" t="str">
        <f t="shared" si="3"/>
        <v/>
      </c>
      <c r="I34" s="25" t="e">
        <f ca="1">IF($G34="Всього:",SUM($I$4:I33),MAX($C$32,K34))</f>
        <v>#VALUE!</v>
      </c>
      <c r="J34" s="25" t="e">
        <f ca="1">IF($G34="Всього:",SUM($J$4:J33),IF(I34-SUM(K34:L34)&lt;0,0,I34-SUM(K34:L34)))</f>
        <v>#VALUE!</v>
      </c>
      <c r="K34" s="25" t="e">
        <f ca="1">IF(G34="Всього:",SUM($K$5:K33),F34*O33/36000*(G34-G33))</f>
        <v>#VALUE!</v>
      </c>
      <c r="L34" s="25" t="e">
        <f ca="1">IF(G34="Всього:",SUM($L$5:L33),$E$4)</f>
        <v>#DIV/0!</v>
      </c>
      <c r="M34" s="25" t="e">
        <f ca="1">IF(G34="Всього:",SUM($M$5:M33),IF($E$5="UAH",J34+L34+K34,J34+K34))</f>
        <v>#VALUE!</v>
      </c>
      <c r="N34" s="27" t="str">
        <f ca="1">IF(G34="Всього:",SUM($N$4:N33),IF($E$5="UAH","",L34))</f>
        <v/>
      </c>
      <c r="O34" s="25" t="e">
        <f t="shared" ca="1" si="0"/>
        <v>#DIV/0!</v>
      </c>
      <c r="P34" s="33">
        <f t="shared" ca="1" si="1"/>
        <v>47095</v>
      </c>
      <c r="Q34" s="8" t="e">
        <f t="shared" ca="1" si="4"/>
        <v>#VALUE!</v>
      </c>
    </row>
    <row r="35" spans="1:18" s="8" customFormat="1" ht="13.2" x14ac:dyDescent="0.25">
      <c r="F35" s="34" t="str">
        <f t="shared" ca="1" si="2"/>
        <v/>
      </c>
      <c r="G35" s="23">
        <f t="shared" ca="1" si="5"/>
        <v>47126</v>
      </c>
      <c r="H35" s="24" t="str">
        <f t="shared" si="3"/>
        <v/>
      </c>
      <c r="I35" s="25" t="e">
        <f ca="1">IF($G35="Всього:",SUM($I$4:I34),MAX($C$32,K35))</f>
        <v>#VALUE!</v>
      </c>
      <c r="J35" s="25" t="e">
        <f ca="1">IF($G35="Всього:",SUM($J$4:J34),IF(I35-SUM(K35:L35)&lt;0,0,I35-SUM(K35:L35)))</f>
        <v>#VALUE!</v>
      </c>
      <c r="K35" s="25" t="e">
        <f ca="1">IF(G35="Всього:",SUM($K$5:K34),F35*O34/36000*(G35-G34))</f>
        <v>#VALUE!</v>
      </c>
      <c r="L35" s="25" t="e">
        <f ca="1">IF(G35="Всього:",SUM($L$5:L34),$E$4)</f>
        <v>#DIV/0!</v>
      </c>
      <c r="M35" s="25" t="e">
        <f ca="1">IF(G35="Всього:",SUM($M$5:M34),IF($E$5="UAH",J35+L35+K35,J35+K35))</f>
        <v>#VALUE!</v>
      </c>
      <c r="N35" s="27" t="str">
        <f ca="1">IF(G35="Всього:",SUM($N$4:N34),IF($E$5="UAH","",L35))</f>
        <v/>
      </c>
      <c r="O35" s="25" t="e">
        <f t="shared" ca="1" si="0"/>
        <v>#DIV/0!</v>
      </c>
      <c r="P35" s="33">
        <f t="shared" ca="1" si="1"/>
        <v>47126</v>
      </c>
      <c r="Q35" s="8" t="e">
        <f t="shared" ca="1" si="4"/>
        <v>#VALUE!</v>
      </c>
    </row>
    <row r="36" spans="1:18" s="8" customFormat="1" ht="13.2" x14ac:dyDescent="0.25">
      <c r="B36" s="29"/>
      <c r="F36" s="34" t="str">
        <f t="shared" ca="1" si="2"/>
        <v/>
      </c>
      <c r="G36" s="23">
        <f t="shared" ca="1" si="5"/>
        <v>47157</v>
      </c>
      <c r="H36" s="24" t="str">
        <f t="shared" si="3"/>
        <v/>
      </c>
      <c r="I36" s="25" t="e">
        <f ca="1">IF($G36="Всього:",SUM($I$4:I35),MAX($C$32,K36))</f>
        <v>#VALUE!</v>
      </c>
      <c r="J36" s="25" t="e">
        <f ca="1">IF($G36="Всього:",SUM($J$4:J35),IF(I36-SUM(K36:L36)&lt;0,0,I36-SUM(K36:L36)))</f>
        <v>#VALUE!</v>
      </c>
      <c r="K36" s="25" t="e">
        <f ca="1">IF(G36="Всього:",SUM($K$5:K35),F36*O35/36000*(G36-G35))</f>
        <v>#VALUE!</v>
      </c>
      <c r="L36" s="25" t="e">
        <f ca="1">IF(G36="Всього:",SUM($L$5:L35),$E$4)</f>
        <v>#DIV/0!</v>
      </c>
      <c r="M36" s="25" t="e">
        <f ca="1">IF(G36="Всього:",SUM($M$5:M35),IF($E$5="UAH",J36+L36+K36,J36+K36))</f>
        <v>#VALUE!</v>
      </c>
      <c r="N36" s="27" t="str">
        <f ca="1">IF(G36="Всього:",SUM($N$4:N35),IF($E$5="UAH","",L36))</f>
        <v/>
      </c>
      <c r="O36" s="25" t="e">
        <f t="shared" ca="1" si="0"/>
        <v>#DIV/0!</v>
      </c>
      <c r="P36" s="33">
        <f t="shared" ca="1" si="1"/>
        <v>47157</v>
      </c>
      <c r="Q36" s="8" t="e">
        <f t="shared" ca="1" si="4"/>
        <v>#VALUE!</v>
      </c>
    </row>
    <row r="37" spans="1:18" s="8" customFormat="1" ht="13.2" x14ac:dyDescent="0.25">
      <c r="F37" s="34" t="str">
        <f t="shared" ca="1" si="2"/>
        <v/>
      </c>
      <c r="G37" s="23">
        <f t="shared" ca="1" si="5"/>
        <v>47185</v>
      </c>
      <c r="H37" s="24" t="str">
        <f t="shared" si="3"/>
        <v/>
      </c>
      <c r="I37" s="25" t="e">
        <f ca="1">IF($G37="Всього:",SUM($I$4:I36),MAX($C$32,K37))</f>
        <v>#VALUE!</v>
      </c>
      <c r="J37" s="25" t="e">
        <f ca="1">IF($G37="Всього:",SUM($J$4:J36),IF(I37-SUM(K37:L37)&lt;0,0,I37-SUM(K37:L37)))</f>
        <v>#VALUE!</v>
      </c>
      <c r="K37" s="25" t="e">
        <f ca="1">IF(G37="Всього:",SUM($K$5:K36),F37*O36/36000*(G37-G36))</f>
        <v>#VALUE!</v>
      </c>
      <c r="L37" s="25" t="e">
        <f ca="1">IF(G37="Всього:",SUM($L$5:L36),$E$4)</f>
        <v>#DIV/0!</v>
      </c>
      <c r="M37" s="25" t="e">
        <f ca="1">IF(G37="Всього:",SUM($M$5:M36),IF($E$5="UAH",J37+L37+K37,J37+K37))</f>
        <v>#VALUE!</v>
      </c>
      <c r="N37" s="27" t="str">
        <f ca="1">IF(G37="Всього:",SUM($N$4:N36),IF($E$5="UAH","",L37))</f>
        <v/>
      </c>
      <c r="O37" s="25" t="e">
        <f t="shared" ca="1" si="0"/>
        <v>#DIV/0!</v>
      </c>
      <c r="P37" s="33">
        <f t="shared" ca="1" si="1"/>
        <v>47185</v>
      </c>
      <c r="Q37" s="8" t="e">
        <f t="shared" ca="1" si="4"/>
        <v>#VALUE!</v>
      </c>
    </row>
    <row r="38" spans="1:18" s="8" customFormat="1" ht="13.2" x14ac:dyDescent="0.25">
      <c r="F38" s="34" t="str">
        <f t="shared" ca="1" si="2"/>
        <v/>
      </c>
      <c r="G38" s="23">
        <f t="shared" ca="1" si="5"/>
        <v>47216</v>
      </c>
      <c r="H38" s="24" t="str">
        <f t="shared" si="3"/>
        <v/>
      </c>
      <c r="I38" s="25" t="e">
        <f ca="1">IF($G38="Всього:",SUM($I$4:I37),MAX($C$32,K38))</f>
        <v>#VALUE!</v>
      </c>
      <c r="J38" s="25" t="e">
        <f ca="1">IF($G38="Всього:",SUM($J$4:J37),IF(I38-SUM(K38:L38)&lt;0,0,I38-SUM(K38:L38)))</f>
        <v>#VALUE!</v>
      </c>
      <c r="K38" s="25" t="e">
        <f ca="1">IF(G38="Всього:",SUM($K$5:K37),F38*O37/36000*(G38-G37))</f>
        <v>#VALUE!</v>
      </c>
      <c r="L38" s="25" t="e">
        <f ca="1">IF(G38="Всього:",SUM($L$5:L37),$E$4)</f>
        <v>#DIV/0!</v>
      </c>
      <c r="M38" s="25" t="e">
        <f ca="1">IF(G38="Всього:",SUM($M$5:M37),IF($E$5="UAH",J38+L38+K38,J38+K38))</f>
        <v>#VALUE!</v>
      </c>
      <c r="N38" s="27" t="str">
        <f ca="1">IF(G38="Всього:",SUM($N$4:N37),IF($E$5="UAH","",L38))</f>
        <v/>
      </c>
      <c r="O38" s="25" t="e">
        <f t="shared" ca="1" si="0"/>
        <v>#DIV/0!</v>
      </c>
      <c r="P38" s="33">
        <f t="shared" ca="1" si="1"/>
        <v>47216</v>
      </c>
      <c r="Q38" s="8" t="e">
        <f t="shared" ca="1" si="4"/>
        <v>#VALUE!</v>
      </c>
    </row>
    <row r="39" spans="1:18" s="8" customFormat="1" ht="13.2" x14ac:dyDescent="0.25">
      <c r="F39" s="34" t="str">
        <f t="shared" ca="1" si="2"/>
        <v/>
      </c>
      <c r="G39" s="23">
        <f t="shared" ca="1" si="5"/>
        <v>47246</v>
      </c>
      <c r="H39" s="24" t="str">
        <f t="shared" si="3"/>
        <v/>
      </c>
      <c r="I39" s="25" t="e">
        <f ca="1">IF($G39="Всього:",SUM($I$4:I38),MAX($C$32,K39))</f>
        <v>#VALUE!</v>
      </c>
      <c r="J39" s="25" t="e">
        <f ca="1">IF($G39="Всього:",SUM($J$4:J38),IF(I39-SUM(K39:L39)&lt;0,0,I39-SUM(K39:L39)))</f>
        <v>#VALUE!</v>
      </c>
      <c r="K39" s="25" t="e">
        <f ca="1">IF(G39="Всього:",SUM($K$5:K38),F39*O38/36000*(G39-G38))</f>
        <v>#VALUE!</v>
      </c>
      <c r="L39" s="25" t="e">
        <f ca="1">IF(G39="Всього:",SUM($L$5:L38),$E$4)</f>
        <v>#DIV/0!</v>
      </c>
      <c r="M39" s="25" t="e">
        <f ca="1">IF(G39="Всього:",SUM($M$5:M38),IF($E$5="UAH",J39+L39+K39,J39+K39))</f>
        <v>#VALUE!</v>
      </c>
      <c r="N39" s="27" t="str">
        <f ca="1">IF(G39="Всього:",SUM($N$4:N38),IF($E$5="UAH","",L39))</f>
        <v/>
      </c>
      <c r="O39" s="25" t="e">
        <f t="shared" ca="1" si="0"/>
        <v>#DIV/0!</v>
      </c>
      <c r="P39" s="33">
        <f t="shared" ca="1" si="1"/>
        <v>47246</v>
      </c>
      <c r="Q39" s="8" t="e">
        <f t="shared" ca="1" si="4"/>
        <v>#VALUE!</v>
      </c>
    </row>
    <row r="40" spans="1:18" s="8" customFormat="1" ht="13.2" x14ac:dyDescent="0.25">
      <c r="F40" s="34" t="str">
        <f t="shared" ca="1" si="2"/>
        <v/>
      </c>
      <c r="G40" s="23">
        <f t="shared" ca="1" si="5"/>
        <v>47277</v>
      </c>
      <c r="H40" s="24" t="str">
        <f t="shared" si="3"/>
        <v/>
      </c>
      <c r="I40" s="25" t="e">
        <f ca="1">IF($G40="Всього:",SUM($I$4:I39),MAX($C$32,K40))</f>
        <v>#VALUE!</v>
      </c>
      <c r="J40" s="25" t="e">
        <f ca="1">IF($G40="Всього:",SUM($J$4:J39),IF(I40-SUM(K40:L40)&lt;0,0,I40-SUM(K40:L40)))</f>
        <v>#VALUE!</v>
      </c>
      <c r="K40" s="25" t="e">
        <f ca="1">IF(G40="Всього:",SUM($K$5:K39),F40*O39/36000*(G40-G39))</f>
        <v>#VALUE!</v>
      </c>
      <c r="L40" s="25" t="e">
        <f ca="1">IF(G40="Всього:",SUM($L$5:L39),$E$4)</f>
        <v>#DIV/0!</v>
      </c>
      <c r="M40" s="25" t="e">
        <f ca="1">IF(G40="Всього:",SUM($M$5:M39),IF($E$5="UAH",J40+L40+K40,J40+K40))</f>
        <v>#VALUE!</v>
      </c>
      <c r="N40" s="27" t="str">
        <f ca="1">IF(G40="Всього:",SUM($N$4:N39),IF($E$5="UAH","",L40))</f>
        <v/>
      </c>
      <c r="O40" s="25" t="e">
        <f t="shared" ca="1" si="0"/>
        <v>#DIV/0!</v>
      </c>
      <c r="P40" s="33">
        <f t="shared" ca="1" si="1"/>
        <v>47277</v>
      </c>
      <c r="Q40" s="8" t="e">
        <f t="shared" ca="1" si="4"/>
        <v>#VALUE!</v>
      </c>
    </row>
    <row r="41" spans="1:18" s="8" customFormat="1" ht="13.2" x14ac:dyDescent="0.25">
      <c r="F41" s="34" t="str">
        <f t="shared" ca="1" si="2"/>
        <v/>
      </c>
      <c r="G41" s="23">
        <f t="shared" ca="1" si="5"/>
        <v>47307</v>
      </c>
      <c r="H41" s="24" t="str">
        <f t="shared" si="3"/>
        <v/>
      </c>
      <c r="I41" s="25" t="e">
        <f ca="1">IF($G41="Всього:",SUM($I$4:I40),MAX($C$32,K41))</f>
        <v>#VALUE!</v>
      </c>
      <c r="J41" s="25" t="e">
        <f ca="1">IF($G41="Всього:",SUM($J$4:J40),IF(I41-SUM(K41:L41)&lt;0,0,I41-SUM(K41:L41)))</f>
        <v>#VALUE!</v>
      </c>
      <c r="K41" s="25" t="e">
        <f ca="1">IF(G41="Всього:",SUM($K$5:K40),F41*O40/36000*(G41-G40))</f>
        <v>#VALUE!</v>
      </c>
      <c r="L41" s="25" t="e">
        <f ca="1">IF(G41="Всього:",SUM($L$5:L40),$E$4)</f>
        <v>#DIV/0!</v>
      </c>
      <c r="M41" s="25" t="e">
        <f ca="1">IF(G41="Всього:",SUM($M$5:M40),IF($E$5="UAH",J41+L41+K41,J41+K41))</f>
        <v>#VALUE!</v>
      </c>
      <c r="N41" s="27" t="str">
        <f ca="1">IF(G41="Всього:",SUM($N$4:N40),IF($E$5="UAH","",L41))</f>
        <v/>
      </c>
      <c r="O41" s="25" t="e">
        <f t="shared" ca="1" si="0"/>
        <v>#DIV/0!</v>
      </c>
      <c r="P41" s="33">
        <f t="shared" ca="1" si="1"/>
        <v>47307</v>
      </c>
      <c r="Q41" s="8" t="e">
        <f t="shared" ca="1" si="4"/>
        <v>#VALUE!</v>
      </c>
      <c r="R41" s="8" t="str">
        <f>IF(E8&gt;H41,$AA$7*0.9*0.9*0.9*5.48%,"")</f>
        <v/>
      </c>
    </row>
    <row r="42" spans="1:18" s="8" customFormat="1" ht="13.2" x14ac:dyDescent="0.25">
      <c r="F42" s="34" t="str">
        <f t="shared" ca="1" si="2"/>
        <v/>
      </c>
      <c r="G42" s="23">
        <f t="shared" ca="1" si="5"/>
        <v>47338</v>
      </c>
      <c r="H42" s="24" t="str">
        <f t="shared" si="3"/>
        <v/>
      </c>
      <c r="I42" s="25" t="e">
        <f ca="1">IF($G42="Всього:",SUM($I$4:I41),MAX($C$32,K42))</f>
        <v>#VALUE!</v>
      </c>
      <c r="J42" s="25" t="e">
        <f ca="1">IF($G42="Всього:",SUM($J$4:J41),IF(I42-SUM(K42:L42)&lt;0,0,I42-SUM(K42:L42)))</f>
        <v>#VALUE!</v>
      </c>
      <c r="K42" s="25" t="e">
        <f ca="1">IF(G42="Всього:",SUM($K$5:K41),F42*O41/36000*(G42-G41))</f>
        <v>#VALUE!</v>
      </c>
      <c r="L42" s="25" t="e">
        <f ca="1">IF(G42="Всього:",SUM($L$5:L41),$E$4)</f>
        <v>#DIV/0!</v>
      </c>
      <c r="M42" s="25" t="e">
        <f ca="1">IF(G42="Всього:",SUM($M$5:M41),IF($E$5="UAH",J42+L42+K42,J42+K42))</f>
        <v>#VALUE!</v>
      </c>
      <c r="N42" s="27" t="str">
        <f ca="1">IF(G42="Всього:",SUM($N$4:N41),IF($E$5="UAH","",L42))</f>
        <v/>
      </c>
      <c r="O42" s="25" t="e">
        <f t="shared" ca="1" si="0"/>
        <v>#DIV/0!</v>
      </c>
      <c r="P42" s="33">
        <f t="shared" ca="1" si="1"/>
        <v>47338</v>
      </c>
      <c r="Q42" s="8" t="e">
        <f t="shared" ca="1" si="4"/>
        <v>#VALUE!</v>
      </c>
    </row>
    <row r="43" spans="1:18" s="8" customFormat="1" ht="13.2" x14ac:dyDescent="0.25">
      <c r="F43" s="34" t="str">
        <f t="shared" ca="1" si="2"/>
        <v/>
      </c>
      <c r="G43" s="23">
        <f t="shared" ca="1" si="5"/>
        <v>47369</v>
      </c>
      <c r="H43" s="24" t="str">
        <f t="shared" si="3"/>
        <v/>
      </c>
      <c r="I43" s="25" t="e">
        <f ca="1">IF($G43="Всього:",SUM($I$4:I42),MAX($C$32,K43))</f>
        <v>#VALUE!</v>
      </c>
      <c r="J43" s="25" t="e">
        <f ca="1">IF($G43="Всього:",SUM($J$4:J42),IF(I43-SUM(K43:L43)&lt;0,0,I43-SUM(K43:L43)))</f>
        <v>#VALUE!</v>
      </c>
      <c r="K43" s="25" t="e">
        <f ca="1">IF(G43="Всього:",SUM($K$5:K42),F43*O42/36000*(G43-G42))</f>
        <v>#VALUE!</v>
      </c>
      <c r="L43" s="25" t="e">
        <f ca="1">IF(G43="Всього:",SUM($L$5:L42),$E$4)</f>
        <v>#DIV/0!</v>
      </c>
      <c r="M43" s="25" t="e">
        <f ca="1">IF(G43="Всього:",SUM($M$5:M42),IF($E$5="UAH",J43+L43+K43,J43+K43))</f>
        <v>#VALUE!</v>
      </c>
      <c r="N43" s="27" t="str">
        <f ca="1">IF(G43="Всього:",SUM($N$4:N42),IF($E$5="UAH","",L43))</f>
        <v/>
      </c>
      <c r="O43" s="25" t="e">
        <f t="shared" ca="1" si="0"/>
        <v>#DIV/0!</v>
      </c>
      <c r="P43" s="33">
        <f t="shared" ca="1" si="1"/>
        <v>47369</v>
      </c>
      <c r="Q43" s="8" t="e">
        <f t="shared" ca="1" si="4"/>
        <v>#VALUE!</v>
      </c>
    </row>
    <row r="44" spans="1:18" s="8" customFormat="1" ht="13.2" x14ac:dyDescent="0.25">
      <c r="F44" s="34" t="str">
        <f t="shared" ca="1" si="2"/>
        <v/>
      </c>
      <c r="G44" s="23">
        <f t="shared" ca="1" si="5"/>
        <v>47399</v>
      </c>
      <c r="H44" s="24" t="str">
        <f t="shared" si="3"/>
        <v/>
      </c>
      <c r="I44" s="25" t="e">
        <f ca="1">IF($G44="Всього:",SUM($I$4:I43),MAX($C$32,K44))</f>
        <v>#VALUE!</v>
      </c>
      <c r="J44" s="25" t="e">
        <f ca="1">IF($G44="Всього:",SUM($J$4:J43),IF(I44-SUM(K44:L44)&lt;0,0,I44-SUM(K44:L44)))</f>
        <v>#VALUE!</v>
      </c>
      <c r="K44" s="25" t="e">
        <f ca="1">IF(G44="Всього:",SUM($K$5:K43),F44*O43/36000*(G44-G43))</f>
        <v>#VALUE!</v>
      </c>
      <c r="L44" s="25" t="e">
        <f ca="1">IF(G44="Всього:",SUM($L$5:L43),$E$4)</f>
        <v>#DIV/0!</v>
      </c>
      <c r="M44" s="25" t="e">
        <f ca="1">IF(G44="Всього:",SUM($M$5:M43),IF($E$5="UAH",J44+L44+K44,J44+K44))</f>
        <v>#VALUE!</v>
      </c>
      <c r="N44" s="27" t="str">
        <f ca="1">IF(G44="Всього:",SUM($N$4:N43),IF($E$5="UAH","",L44))</f>
        <v/>
      </c>
      <c r="O44" s="25" t="e">
        <f t="shared" ca="1" si="0"/>
        <v>#DIV/0!</v>
      </c>
      <c r="P44" s="33">
        <f t="shared" ca="1" si="1"/>
        <v>47399</v>
      </c>
      <c r="Q44" s="8" t="e">
        <f t="shared" ca="1" si="4"/>
        <v>#VALUE!</v>
      </c>
    </row>
    <row r="45" spans="1:18" s="8" customFormat="1" ht="13.2" x14ac:dyDescent="0.25">
      <c r="F45" s="34" t="str">
        <f t="shared" ca="1" si="2"/>
        <v/>
      </c>
      <c r="G45" s="23">
        <f t="shared" ca="1" si="5"/>
        <v>47430</v>
      </c>
      <c r="H45" s="24" t="str">
        <f t="shared" si="3"/>
        <v/>
      </c>
      <c r="I45" s="25" t="e">
        <f ca="1">IF($G45="Всього:",SUM($I$4:I44),MAX($C$32,K45))</f>
        <v>#VALUE!</v>
      </c>
      <c r="J45" s="25" t="e">
        <f ca="1">IF($G45="Всього:",SUM($J$4:J44),IF(I45-SUM(K45:L45)&lt;0,0,I45-SUM(K45:L45)))</f>
        <v>#VALUE!</v>
      </c>
      <c r="K45" s="25" t="e">
        <f ca="1">IF(G45="Всього:",SUM($K$5:K44),F45*O44/36000*(G45-G44))</f>
        <v>#VALUE!</v>
      </c>
      <c r="L45" s="25" t="e">
        <f ca="1">IF(G45="Всього:",SUM($L$5:L44),$E$4)</f>
        <v>#DIV/0!</v>
      </c>
      <c r="M45" s="25" t="e">
        <f ca="1">IF(G45="Всього:",SUM($M$5:M44),IF($E$5="UAH",J45+L45+K45,J45+K45))</f>
        <v>#VALUE!</v>
      </c>
      <c r="N45" s="27" t="str">
        <f ca="1">IF(G45="Всього:",SUM($N$4:N44),IF($E$5="UAH","",L45))</f>
        <v/>
      </c>
      <c r="O45" s="25" t="e">
        <f t="shared" ca="1" si="0"/>
        <v>#DIV/0!</v>
      </c>
      <c r="P45" s="33">
        <f t="shared" ca="1" si="1"/>
        <v>47430</v>
      </c>
      <c r="Q45" s="8" t="e">
        <f t="shared" ca="1" si="4"/>
        <v>#VALUE!</v>
      </c>
    </row>
    <row r="46" spans="1:18" s="8" customFormat="1" ht="13.2" x14ac:dyDescent="0.25">
      <c r="F46" s="34" t="str">
        <f t="shared" ca="1" si="2"/>
        <v/>
      </c>
      <c r="G46" s="23">
        <f t="shared" ca="1" si="5"/>
        <v>47460</v>
      </c>
      <c r="H46" s="24" t="str">
        <f t="shared" si="3"/>
        <v/>
      </c>
      <c r="I46" s="25" t="e">
        <f ca="1">IF($G46="Всього:",SUM($I$4:I45),MAX($C$32,K46))</f>
        <v>#VALUE!</v>
      </c>
      <c r="J46" s="25" t="e">
        <f ca="1">IF($G46="Всього:",SUM($J$4:J45),IF(I46-SUM(K46:L46)&lt;0,0,I46-SUM(K46:L46)))</f>
        <v>#VALUE!</v>
      </c>
      <c r="K46" s="25" t="e">
        <f ca="1">IF(G46="Всього:",SUM($K$5:K45),F46*O45/36000*(G46-G45))</f>
        <v>#VALUE!</v>
      </c>
      <c r="L46" s="25" t="e">
        <f ca="1">IF(G46="Всього:",SUM($L$5:L45),$E$4)</f>
        <v>#DIV/0!</v>
      </c>
      <c r="M46" s="25" t="e">
        <f ca="1">IF(G46="Всього:",SUM($M$5:M45),IF($E$5="UAH",J46+L46+K46,J46+K46))</f>
        <v>#VALUE!</v>
      </c>
      <c r="N46" s="27" t="str">
        <f ca="1">IF(G46="Всього:",SUM($N$4:N45),IF($E$5="UAH","",L46))</f>
        <v/>
      </c>
      <c r="O46" s="25" t="e">
        <f t="shared" ca="1" si="0"/>
        <v>#DIV/0!</v>
      </c>
      <c r="P46" s="33">
        <f t="shared" ca="1" si="1"/>
        <v>47460</v>
      </c>
      <c r="Q46" s="8" t="e">
        <f t="shared" ca="1" si="4"/>
        <v>#VALUE!</v>
      </c>
    </row>
    <row r="47" spans="1:18" s="8" customFormat="1" ht="13.2" x14ac:dyDescent="0.25">
      <c r="F47" s="34" t="str">
        <f t="shared" ca="1" si="2"/>
        <v/>
      </c>
      <c r="G47" s="23">
        <f t="shared" ca="1" si="5"/>
        <v>47491</v>
      </c>
      <c r="H47" s="24" t="str">
        <f t="shared" si="3"/>
        <v/>
      </c>
      <c r="I47" s="25" t="e">
        <f ca="1">IF($G47="Всього:",SUM($I$4:I46),MAX($C$32,K47))</f>
        <v>#VALUE!</v>
      </c>
      <c r="J47" s="25" t="e">
        <f ca="1">IF($G47="Всього:",SUM($J$4:J46),IF(I47-SUM(K47:L47)&lt;0,0,I47-SUM(K47:L47)))</f>
        <v>#VALUE!</v>
      </c>
      <c r="K47" s="25" t="e">
        <f ca="1">IF(G47="Всього:",SUM($K$5:K46),F47*O46/36000*(G47-G46))</f>
        <v>#VALUE!</v>
      </c>
      <c r="L47" s="25" t="e">
        <f ca="1">IF(G47="Всього:",SUM($L$5:L46),$E$4)</f>
        <v>#DIV/0!</v>
      </c>
      <c r="M47" s="25" t="e">
        <f ca="1">IF(G47="Всього:",SUM($M$5:M46),IF($E$5="UAH",J47+L47+K47,J47+K47))</f>
        <v>#VALUE!</v>
      </c>
      <c r="N47" s="27" t="str">
        <f ca="1">IF(G47="Всього:",SUM($N$4:N46),IF($E$5="UAH","",L47))</f>
        <v/>
      </c>
      <c r="O47" s="25" t="e">
        <f t="shared" ca="1" si="0"/>
        <v>#DIV/0!</v>
      </c>
      <c r="P47" s="33">
        <f t="shared" ca="1" si="1"/>
        <v>47491</v>
      </c>
      <c r="Q47" s="8" t="e">
        <f t="shared" ca="1" si="4"/>
        <v>#VALUE!</v>
      </c>
    </row>
    <row r="48" spans="1:18" s="8" customFormat="1" ht="13.2" x14ac:dyDescent="0.25">
      <c r="F48" s="34" t="str">
        <f t="shared" ca="1" si="2"/>
        <v/>
      </c>
      <c r="G48" s="23">
        <f t="shared" ca="1" si="5"/>
        <v>47522</v>
      </c>
      <c r="H48" s="24" t="str">
        <f t="shared" si="3"/>
        <v/>
      </c>
      <c r="I48" s="25" t="e">
        <f ca="1">IF($G48="Всього:",SUM($I$4:I47),MAX($C$32,K48))</f>
        <v>#VALUE!</v>
      </c>
      <c r="J48" s="25" t="e">
        <f ca="1">IF($G48="Всього:",SUM($J$4:J47),IF(I48-SUM(K48:L48)&lt;0,0,I48-SUM(K48:L48)))</f>
        <v>#VALUE!</v>
      </c>
      <c r="K48" s="25" t="e">
        <f ca="1">IF(G48="Всього:",SUM($K$5:K47),F48*O47/36000*(G48-G47))</f>
        <v>#VALUE!</v>
      </c>
      <c r="L48" s="25" t="e">
        <f ca="1">IF(G48="Всього:",SUM($L$5:L47),$E$4)</f>
        <v>#DIV/0!</v>
      </c>
      <c r="M48" s="25" t="e">
        <f ca="1">IF(G48="Всього:",SUM($M$5:M47),IF($E$5="UAH",J48+L48+K48,J48+K48))</f>
        <v>#VALUE!</v>
      </c>
      <c r="N48" s="27" t="str">
        <f ca="1">IF(G48="Всього:",SUM($N$4:N47),IF($E$5="UAH","",L48))</f>
        <v/>
      </c>
      <c r="O48" s="25" t="e">
        <f t="shared" ca="1" si="0"/>
        <v>#DIV/0!</v>
      </c>
      <c r="P48" s="33">
        <f t="shared" ca="1" si="1"/>
        <v>47522</v>
      </c>
      <c r="Q48" s="8" t="e">
        <f t="shared" ca="1" si="4"/>
        <v>#VALUE!</v>
      </c>
    </row>
    <row r="49" spans="6:18" s="8" customFormat="1" ht="13.2" x14ac:dyDescent="0.25">
      <c r="F49" s="34" t="str">
        <f t="shared" ca="1" si="2"/>
        <v/>
      </c>
      <c r="G49" s="23">
        <f t="shared" ca="1" si="5"/>
        <v>47550</v>
      </c>
      <c r="H49" s="24" t="str">
        <f t="shared" si="3"/>
        <v/>
      </c>
      <c r="I49" s="25" t="e">
        <f ca="1">IF($G49="Всього:",SUM($I$4:I48),MAX($C$32,K49))</f>
        <v>#VALUE!</v>
      </c>
      <c r="J49" s="25" t="e">
        <f ca="1">IF($G49="Всього:",SUM($J$4:J48),IF(I49-SUM(K49:L49)&lt;0,0,I49-SUM(K49:L49)))</f>
        <v>#VALUE!</v>
      </c>
      <c r="K49" s="25" t="e">
        <f ca="1">IF(G49="Всього:",SUM($K$5:K48),F49*O48/36000*(G49-G48))</f>
        <v>#VALUE!</v>
      </c>
      <c r="L49" s="25" t="e">
        <f ca="1">IF(G49="Всього:",SUM($L$5:L48),$E$4)</f>
        <v>#DIV/0!</v>
      </c>
      <c r="M49" s="25" t="e">
        <f ca="1">IF(G49="Всього:",SUM($M$5:M48),IF($E$5="UAH",J49+L49+K49,J49+K49))</f>
        <v>#VALUE!</v>
      </c>
      <c r="N49" s="27" t="str">
        <f ca="1">IF(G49="Всього:",SUM($N$4:N48),IF($E$5="UAH","",L49))</f>
        <v/>
      </c>
      <c r="O49" s="25" t="e">
        <f t="shared" ca="1" si="0"/>
        <v>#DIV/0!</v>
      </c>
      <c r="P49" s="33">
        <f t="shared" ca="1" si="1"/>
        <v>47550</v>
      </c>
      <c r="Q49" s="8" t="e">
        <f t="shared" ca="1" si="4"/>
        <v>#VALUE!</v>
      </c>
    </row>
    <row r="50" spans="6:18" s="8" customFormat="1" ht="13.2" x14ac:dyDescent="0.25">
      <c r="F50" s="34" t="str">
        <f t="shared" ca="1" si="2"/>
        <v/>
      </c>
      <c r="G50" s="23">
        <f t="shared" ca="1" si="5"/>
        <v>47581</v>
      </c>
      <c r="H50" s="24" t="str">
        <f t="shared" si="3"/>
        <v/>
      </c>
      <c r="I50" s="25" t="e">
        <f ca="1">IF($G50="Всього:",SUM($I$4:I49),MAX($C$32,K50))</f>
        <v>#VALUE!</v>
      </c>
      <c r="J50" s="25" t="e">
        <f ca="1">IF($G50="Всього:",SUM($J$4:J49),IF(I50-SUM(K50:L50)&lt;0,0,I50-SUM(K50:L50)))</f>
        <v>#VALUE!</v>
      </c>
      <c r="K50" s="25" t="e">
        <f ca="1">IF(G50="Всього:",SUM($K$5:K49),F50*O49/36000*(G50-G49))</f>
        <v>#VALUE!</v>
      </c>
      <c r="L50" s="25" t="e">
        <f ca="1">IF(G50="Всього:",SUM($L$5:L49),$E$4)</f>
        <v>#DIV/0!</v>
      </c>
      <c r="M50" s="25" t="e">
        <f ca="1">IF(G50="Всього:",SUM($M$5:M49),IF($E$5="UAH",J50+L50+K50,J50+K50))</f>
        <v>#VALUE!</v>
      </c>
      <c r="N50" s="27" t="str">
        <f ca="1">IF(G50="Всього:",SUM($N$4:N49),IF($E$5="UAH","",L50))</f>
        <v/>
      </c>
      <c r="O50" s="25" t="e">
        <f t="shared" ca="1" si="0"/>
        <v>#DIV/0!</v>
      </c>
      <c r="P50" s="33">
        <f t="shared" ca="1" si="1"/>
        <v>47581</v>
      </c>
      <c r="Q50" s="8" t="e">
        <f t="shared" ca="1" si="4"/>
        <v>#VALUE!</v>
      </c>
    </row>
    <row r="51" spans="6:18" s="8" customFormat="1" ht="13.2" x14ac:dyDescent="0.25">
      <c r="F51" s="34" t="str">
        <f t="shared" ca="1" si="2"/>
        <v/>
      </c>
      <c r="G51" s="23">
        <f t="shared" ca="1" si="5"/>
        <v>47611</v>
      </c>
      <c r="H51" s="24" t="str">
        <f t="shared" si="3"/>
        <v/>
      </c>
      <c r="I51" s="25" t="e">
        <f ca="1">IF($G51="Всього:",SUM($I$4:I50),MAX($C$32,K51))</f>
        <v>#VALUE!</v>
      </c>
      <c r="J51" s="25" t="e">
        <f ca="1">IF($G51="Всього:",SUM($J$4:J50),IF(I51-SUM(K51:L51)&lt;0,0,I51-SUM(K51:L51)))</f>
        <v>#VALUE!</v>
      </c>
      <c r="K51" s="25" t="e">
        <f ca="1">IF(G51="Всього:",SUM($K$5:K50),F51*O50/36000*(G51-G50))</f>
        <v>#VALUE!</v>
      </c>
      <c r="L51" s="25" t="e">
        <f ca="1">IF(G51="Всього:",SUM($L$5:L50),$E$4)</f>
        <v>#DIV/0!</v>
      </c>
      <c r="M51" s="25" t="e">
        <f ca="1">IF(G51="Всього:",SUM($M$5:M50),IF($E$5="UAH",J51+L51+K51,J51+K51))</f>
        <v>#VALUE!</v>
      </c>
      <c r="N51" s="27" t="str">
        <f ca="1">IF(G51="Всього:",SUM($N$4:N50),IF($E$5="UAH","",L51))</f>
        <v/>
      </c>
      <c r="O51" s="25" t="e">
        <f t="shared" ca="1" si="0"/>
        <v>#DIV/0!</v>
      </c>
      <c r="P51" s="33">
        <f t="shared" ca="1" si="1"/>
        <v>47611</v>
      </c>
      <c r="Q51" s="8" t="e">
        <f t="shared" ca="1" si="4"/>
        <v>#VALUE!</v>
      </c>
    </row>
    <row r="52" spans="6:18" s="8" customFormat="1" ht="13.2" x14ac:dyDescent="0.25">
      <c r="F52" s="34" t="str">
        <f t="shared" ca="1" si="2"/>
        <v/>
      </c>
      <c r="G52" s="23">
        <f t="shared" ca="1" si="5"/>
        <v>47642</v>
      </c>
      <c r="H52" s="24" t="str">
        <f t="shared" si="3"/>
        <v/>
      </c>
      <c r="I52" s="25" t="e">
        <f ca="1">IF($G52="Всього:",SUM($I$4:I51),MAX($C$32,K52))</f>
        <v>#VALUE!</v>
      </c>
      <c r="J52" s="25" t="e">
        <f ca="1">IF($G52="Всього:",SUM($J$4:J51),IF(I52-SUM(K52:L52)&lt;0,0,I52-SUM(K52:L52)))</f>
        <v>#VALUE!</v>
      </c>
      <c r="K52" s="25" t="e">
        <f ca="1">IF(G52="Всього:",SUM($K$5:K51),F52*O51/36000*(G52-G51))</f>
        <v>#VALUE!</v>
      </c>
      <c r="L52" s="25" t="e">
        <f ca="1">IF(G52="Всього:",SUM($L$5:L51),$E$4)</f>
        <v>#DIV/0!</v>
      </c>
      <c r="M52" s="25" t="e">
        <f ca="1">IF(G52="Всього:",SUM($M$5:M51),IF($E$5="UAH",J52+L52+K52,J52+K52))</f>
        <v>#VALUE!</v>
      </c>
      <c r="N52" s="27" t="str">
        <f ca="1">IF(G52="Всього:",SUM($N$4:N51),IF($E$5="UAH","",L52))</f>
        <v/>
      </c>
      <c r="O52" s="25" t="e">
        <f t="shared" ca="1" si="0"/>
        <v>#DIV/0!</v>
      </c>
      <c r="P52" s="33">
        <f t="shared" ca="1" si="1"/>
        <v>47642</v>
      </c>
      <c r="Q52" s="8" t="e">
        <f t="shared" ca="1" si="4"/>
        <v>#VALUE!</v>
      </c>
    </row>
    <row r="53" spans="6:18" s="8" customFormat="1" ht="13.2" x14ac:dyDescent="0.25">
      <c r="F53" s="34" t="str">
        <f t="shared" ca="1" si="2"/>
        <v/>
      </c>
      <c r="G53" s="23">
        <f t="shared" ca="1" si="5"/>
        <v>47672</v>
      </c>
      <c r="H53" s="24" t="str">
        <f t="shared" si="3"/>
        <v/>
      </c>
      <c r="I53" s="25" t="e">
        <f ca="1">IF($G53="Всього:",SUM($I$4:I52),MAX($C$32,K53))</f>
        <v>#VALUE!</v>
      </c>
      <c r="J53" s="25" t="e">
        <f ca="1">IF($G53="Всього:",SUM($J$4:J52),IF(I53-SUM(K53:L53)&lt;0,0,I53-SUM(K53:L53)))</f>
        <v>#VALUE!</v>
      </c>
      <c r="K53" s="25" t="e">
        <f ca="1">IF(G53="Всього:",SUM($K$5:K52),F53*O52/36000*(G53-G52))</f>
        <v>#VALUE!</v>
      </c>
      <c r="L53" s="25" t="e">
        <f ca="1">IF(G53="Всього:",SUM($L$5:L52),$E$4)</f>
        <v>#DIV/0!</v>
      </c>
      <c r="M53" s="25" t="e">
        <f ca="1">IF(G53="Всього:",SUM($M$5:M52),IF($E$5="UAH",J53+L53+K53,J53+K53))</f>
        <v>#VALUE!</v>
      </c>
      <c r="N53" s="27" t="str">
        <f ca="1">IF(G53="Всього:",SUM($N$4:N52),IF($E$5="UAH","",L53))</f>
        <v/>
      </c>
      <c r="O53" s="25" t="e">
        <f t="shared" ca="1" si="0"/>
        <v>#DIV/0!</v>
      </c>
      <c r="P53" s="33">
        <f t="shared" ca="1" si="1"/>
        <v>47672</v>
      </c>
      <c r="Q53" s="8" t="e">
        <f t="shared" ca="1" si="4"/>
        <v>#VALUE!</v>
      </c>
      <c r="R53" s="8" t="str">
        <f>IF(E8&gt;H53,$AA$7*0.9*0.9*0.9*0.9*5.48%,"")</f>
        <v/>
      </c>
    </row>
    <row r="54" spans="6:18" s="8" customFormat="1" ht="13.2" x14ac:dyDescent="0.25">
      <c r="F54" s="34" t="str">
        <f t="shared" ca="1" si="2"/>
        <v/>
      </c>
      <c r="G54" s="23">
        <f t="shared" ca="1" si="5"/>
        <v>47703</v>
      </c>
      <c r="H54" s="24" t="str">
        <f t="shared" si="3"/>
        <v/>
      </c>
      <c r="I54" s="25" t="e">
        <f ca="1">IF($G54="Всього:",SUM($I$4:I53),MAX($C$32,K54))</f>
        <v>#VALUE!</v>
      </c>
      <c r="J54" s="25" t="e">
        <f ca="1">IF($G54="Всього:",SUM($J$4:J53),IF(I54-SUM(K54:L54)&lt;0,0,I54-SUM(K54:L54)))</f>
        <v>#VALUE!</v>
      </c>
      <c r="K54" s="25" t="e">
        <f ca="1">IF(G54="Всього:",SUM($K$5:K53),F54*O53/36000*(G54-G53))</f>
        <v>#VALUE!</v>
      </c>
      <c r="L54" s="25" t="e">
        <f ca="1">IF(G54="Всього:",SUM($L$5:L53),$E$4)</f>
        <v>#DIV/0!</v>
      </c>
      <c r="M54" s="25" t="e">
        <f ca="1">IF(G54="Всього:",SUM($M$5:M53),IF($E$5="UAH",J54+L54+K54,J54+K54))</f>
        <v>#VALUE!</v>
      </c>
      <c r="N54" s="27" t="str">
        <f ca="1">IF(G54="Всього:",SUM($N$4:N53),IF($E$5="UAH","",L54))</f>
        <v/>
      </c>
      <c r="O54" s="25" t="e">
        <f t="shared" ca="1" si="0"/>
        <v>#DIV/0!</v>
      </c>
      <c r="P54" s="33">
        <f t="shared" ca="1" si="1"/>
        <v>47703</v>
      </c>
      <c r="Q54" s="8" t="e">
        <f t="shared" ca="1" si="4"/>
        <v>#VALUE!</v>
      </c>
    </row>
    <row r="55" spans="6:18" s="8" customFormat="1" ht="13.2" x14ac:dyDescent="0.25">
      <c r="F55" s="34" t="str">
        <f t="shared" ca="1" si="2"/>
        <v/>
      </c>
      <c r="G55" s="23">
        <f t="shared" ca="1" si="5"/>
        <v>47734</v>
      </c>
      <c r="H55" s="24" t="str">
        <f t="shared" si="3"/>
        <v/>
      </c>
      <c r="I55" s="25" t="e">
        <f ca="1">IF($G55="Всього:",SUM($I$4:I54),MAX($C$32,K55))</f>
        <v>#VALUE!</v>
      </c>
      <c r="J55" s="25" t="e">
        <f ca="1">IF($G55="Всього:",SUM($J$4:J54),IF(I55-SUM(K55:L55)&lt;0,0,I55-SUM(K55:L55)))</f>
        <v>#VALUE!</v>
      </c>
      <c r="K55" s="25" t="e">
        <f ca="1">IF(G55="Всього:",SUM($K$5:K54),F55*O54/36000*(G55-G54))</f>
        <v>#VALUE!</v>
      </c>
      <c r="L55" s="25" t="e">
        <f ca="1">IF(G55="Всього:",SUM($L$5:L54),$E$4)</f>
        <v>#DIV/0!</v>
      </c>
      <c r="M55" s="25" t="e">
        <f ca="1">IF(G55="Всього:",SUM($M$5:M54),IF($E$5="UAH",J55+L55+K55,J55+K55))</f>
        <v>#VALUE!</v>
      </c>
      <c r="N55" s="27" t="str">
        <f ca="1">IF(G55="Всього:",SUM($N$4:N54),IF($E$5="UAH","",L55))</f>
        <v/>
      </c>
      <c r="O55" s="25" t="e">
        <f t="shared" ca="1" si="0"/>
        <v>#DIV/0!</v>
      </c>
      <c r="P55" s="33">
        <f t="shared" ca="1" si="1"/>
        <v>47734</v>
      </c>
      <c r="Q55" s="8" t="e">
        <f t="shared" ca="1" si="4"/>
        <v>#VALUE!</v>
      </c>
    </row>
    <row r="56" spans="6:18" s="8" customFormat="1" ht="13.2" x14ac:dyDescent="0.25">
      <c r="F56" s="34" t="str">
        <f t="shared" ca="1" si="2"/>
        <v/>
      </c>
      <c r="G56" s="23">
        <f t="shared" ca="1" si="5"/>
        <v>47764</v>
      </c>
      <c r="H56" s="24" t="str">
        <f t="shared" si="3"/>
        <v/>
      </c>
      <c r="I56" s="25" t="e">
        <f ca="1">IF($G56="Всього:",SUM($I$4:I55),MAX($C$32,K56))</f>
        <v>#VALUE!</v>
      </c>
      <c r="J56" s="25" t="e">
        <f ca="1">IF($G56="Всього:",SUM($J$4:J55),IF(I56-SUM(K56:L56)&lt;0,0,I56-SUM(K56:L56)))</f>
        <v>#VALUE!</v>
      </c>
      <c r="K56" s="25" t="e">
        <f ca="1">IF(G56="Всього:",SUM($K$5:K55),F56*O55/36000*(G56-G55))</f>
        <v>#VALUE!</v>
      </c>
      <c r="L56" s="25" t="e">
        <f ca="1">IF(G56="Всього:",SUM($L$5:L55),$E$4)</f>
        <v>#DIV/0!</v>
      </c>
      <c r="M56" s="25" t="e">
        <f ca="1">IF(G56="Всього:",SUM($M$5:M55),IF($E$5="UAH",J56+L56+K56,J56+K56))</f>
        <v>#VALUE!</v>
      </c>
      <c r="N56" s="27" t="str">
        <f ca="1">IF(G56="Всього:",SUM($N$4:N55),IF($E$5="UAH","",L56))</f>
        <v/>
      </c>
      <c r="O56" s="25" t="e">
        <f t="shared" ca="1" si="0"/>
        <v>#DIV/0!</v>
      </c>
      <c r="P56" s="33">
        <f t="shared" ca="1" si="1"/>
        <v>47764</v>
      </c>
      <c r="Q56" s="8" t="e">
        <f t="shared" ca="1" si="4"/>
        <v>#VALUE!</v>
      </c>
    </row>
    <row r="57" spans="6:18" s="8" customFormat="1" ht="13.2" x14ac:dyDescent="0.25">
      <c r="F57" s="34" t="str">
        <f t="shared" ca="1" si="2"/>
        <v/>
      </c>
      <c r="G57" s="23">
        <f t="shared" ca="1" si="5"/>
        <v>47795</v>
      </c>
      <c r="H57" s="24" t="str">
        <f t="shared" si="3"/>
        <v/>
      </c>
      <c r="I57" s="25" t="e">
        <f ca="1">IF($G57="Всього:",SUM($I$4:I56),MAX($C$32,K57))</f>
        <v>#VALUE!</v>
      </c>
      <c r="J57" s="25" t="e">
        <f ca="1">IF($G57="Всього:",SUM($J$4:J56),IF(I57-SUM(K57:L57)&lt;0,0,I57-SUM(K57:L57)))</f>
        <v>#VALUE!</v>
      </c>
      <c r="K57" s="25" t="e">
        <f ca="1">IF(G57="Всього:",SUM($K$5:K56),F57*O56/36000*(G57-G56))</f>
        <v>#VALUE!</v>
      </c>
      <c r="L57" s="25" t="e">
        <f ca="1">IF(G57="Всього:",SUM($L$5:L56),$E$4)</f>
        <v>#DIV/0!</v>
      </c>
      <c r="M57" s="25" t="e">
        <f ca="1">IF(G57="Всього:",SUM($M$5:M56),IF($E$5="UAH",J57+L57+K57,J57+K57))</f>
        <v>#VALUE!</v>
      </c>
      <c r="N57" s="27" t="str">
        <f ca="1">IF(G57="Всього:",SUM($N$4:N56),IF($E$5="UAH","",L57))</f>
        <v/>
      </c>
      <c r="O57" s="25" t="e">
        <f t="shared" ca="1" si="0"/>
        <v>#DIV/0!</v>
      </c>
      <c r="P57" s="33">
        <f t="shared" ca="1" si="1"/>
        <v>47795</v>
      </c>
      <c r="Q57" s="8" t="e">
        <f t="shared" ca="1" si="4"/>
        <v>#VALUE!</v>
      </c>
    </row>
    <row r="58" spans="6:18" s="8" customFormat="1" ht="13.2" x14ac:dyDescent="0.25">
      <c r="F58" s="34" t="str">
        <f t="shared" ca="1" si="2"/>
        <v/>
      </c>
      <c r="G58" s="23">
        <f t="shared" ca="1" si="5"/>
        <v>47825</v>
      </c>
      <c r="H58" s="24" t="str">
        <f t="shared" si="3"/>
        <v/>
      </c>
      <c r="I58" s="25" t="e">
        <f ca="1">IF($G58="Всього:",SUM($I$4:I57),MAX($C$32,K58))</f>
        <v>#VALUE!</v>
      </c>
      <c r="J58" s="25" t="e">
        <f ca="1">IF($G58="Всього:",SUM($J$4:J57),IF(I58-SUM(K58:L58)&lt;0,0,I58-SUM(K58:L58)))</f>
        <v>#VALUE!</v>
      </c>
      <c r="K58" s="25" t="e">
        <f ca="1">IF(G58="Всього:",SUM($K$5:K57),F58*O57/36000*(G58-G57))</f>
        <v>#VALUE!</v>
      </c>
      <c r="L58" s="25" t="e">
        <f ca="1">IF(G58="Всього:",SUM($L$5:L57),$E$4)</f>
        <v>#DIV/0!</v>
      </c>
      <c r="M58" s="25" t="e">
        <f ca="1">IF(G58="Всього:",SUM($M$5:M57),IF($E$5="UAH",J58+L58+K58,J58+K58))</f>
        <v>#VALUE!</v>
      </c>
      <c r="N58" s="27" t="str">
        <f ca="1">IF(G58="Всього:",SUM($N$4:N57),IF($E$5="UAH","",L58))</f>
        <v/>
      </c>
      <c r="O58" s="25" t="e">
        <f t="shared" ca="1" si="0"/>
        <v>#DIV/0!</v>
      </c>
      <c r="P58" s="33">
        <f t="shared" ca="1" si="1"/>
        <v>47825</v>
      </c>
      <c r="Q58" s="8" t="e">
        <f t="shared" ca="1" si="4"/>
        <v>#VALUE!</v>
      </c>
    </row>
    <row r="59" spans="6:18" s="8" customFormat="1" ht="13.2" x14ac:dyDescent="0.25">
      <c r="F59" s="34" t="str">
        <f t="shared" ca="1" si="2"/>
        <v/>
      </c>
      <c r="G59" s="23">
        <f t="shared" ca="1" si="5"/>
        <v>47856</v>
      </c>
      <c r="H59" s="24" t="str">
        <f t="shared" si="3"/>
        <v/>
      </c>
      <c r="I59" s="25" t="e">
        <f ca="1">IF($G59="Всього:",SUM($I$4:I58),MAX($C$32,K59))</f>
        <v>#VALUE!</v>
      </c>
      <c r="J59" s="25" t="e">
        <f ca="1">IF($G59="Всього:",SUM($J$4:J58),IF(I59-SUM(K59:L59)&lt;0,0,I59-SUM(K59:L59)))</f>
        <v>#VALUE!</v>
      </c>
      <c r="K59" s="25" t="e">
        <f ca="1">IF(G59="Всього:",SUM($K$5:K58),F59*O58/36000*(G59-G58))</f>
        <v>#VALUE!</v>
      </c>
      <c r="L59" s="25" t="e">
        <f ca="1">IF(G59="Всього:",SUM($L$5:L58),$E$4)</f>
        <v>#DIV/0!</v>
      </c>
      <c r="M59" s="25" t="e">
        <f ca="1">IF(G59="Всього:",SUM($M$5:M58),IF($E$5="UAH",J59+L59+K59,J59+K59))</f>
        <v>#VALUE!</v>
      </c>
      <c r="N59" s="27" t="str">
        <f ca="1">IF(G59="Всього:",SUM($N$4:N58),IF($E$5="UAH","",L59))</f>
        <v/>
      </c>
      <c r="O59" s="25" t="e">
        <f t="shared" ca="1" si="0"/>
        <v>#DIV/0!</v>
      </c>
      <c r="P59" s="33">
        <f t="shared" ca="1" si="1"/>
        <v>47856</v>
      </c>
      <c r="Q59" s="8" t="e">
        <f t="shared" ca="1" si="4"/>
        <v>#VALUE!</v>
      </c>
    </row>
    <row r="60" spans="6:18" s="8" customFormat="1" ht="13.2" x14ac:dyDescent="0.25">
      <c r="F60" s="34" t="str">
        <f t="shared" ca="1" si="2"/>
        <v/>
      </c>
      <c r="G60" s="23">
        <f t="shared" ca="1" si="5"/>
        <v>47887</v>
      </c>
      <c r="H60" s="24" t="str">
        <f t="shared" si="3"/>
        <v/>
      </c>
      <c r="I60" s="25" t="e">
        <f ca="1">IF($G60="Всього:",SUM($I$4:I59),MAX($C$32,K60))</f>
        <v>#VALUE!</v>
      </c>
      <c r="J60" s="25" t="e">
        <f ca="1">IF($G60="Всього:",SUM($J$4:J59),IF(I60-SUM(K60:L60)&lt;0,0,I60-SUM(K60:L60)))</f>
        <v>#VALUE!</v>
      </c>
      <c r="K60" s="25" t="e">
        <f ca="1">IF(G60="Всього:",SUM($K$5:K59),F60*O59/36000*(G60-G59))</f>
        <v>#VALUE!</v>
      </c>
      <c r="L60" s="25" t="e">
        <f ca="1">IF(G60="Всього:",SUM($L$5:L59),$E$4)</f>
        <v>#DIV/0!</v>
      </c>
      <c r="M60" s="25" t="e">
        <f ca="1">IF(G60="Всього:",SUM($M$5:M59),IF($E$5="UAH",J60+L60+K60,J60+K60))</f>
        <v>#VALUE!</v>
      </c>
      <c r="N60" s="27" t="str">
        <f ca="1">IF(G60="Всього:",SUM($N$4:N59),IF($E$5="UAH","",L60))</f>
        <v/>
      </c>
      <c r="O60" s="25" t="e">
        <f t="shared" ca="1" si="0"/>
        <v>#DIV/0!</v>
      </c>
      <c r="P60" s="33">
        <f t="shared" ca="1" si="1"/>
        <v>47887</v>
      </c>
      <c r="Q60" s="8" t="e">
        <f t="shared" ca="1" si="4"/>
        <v>#VALUE!</v>
      </c>
    </row>
    <row r="61" spans="6:18" s="8" customFormat="1" ht="13.2" x14ac:dyDescent="0.25">
      <c r="F61" s="34" t="str">
        <f t="shared" ca="1" si="2"/>
        <v/>
      </c>
      <c r="G61" s="23">
        <f t="shared" ca="1" si="5"/>
        <v>47915</v>
      </c>
      <c r="H61" s="24" t="str">
        <f t="shared" si="3"/>
        <v/>
      </c>
      <c r="I61" s="25" t="e">
        <f ca="1">IF($G61="Всього:",SUM($I$4:I60),MAX($C$32,K61))</f>
        <v>#VALUE!</v>
      </c>
      <c r="J61" s="25" t="e">
        <f ca="1">IF($G61="Всього:",SUM($J$4:J60),IF(I61-SUM(K61:L61)&lt;0,0,I61-SUM(K61:L61)))</f>
        <v>#VALUE!</v>
      </c>
      <c r="K61" s="25" t="e">
        <f ca="1">IF(G61="Всього:",SUM($K$5:K60),F61*O60/36000*(G61-G60))</f>
        <v>#VALUE!</v>
      </c>
      <c r="L61" s="25" t="e">
        <f ca="1">IF(G61="Всього:",SUM($L$5:L60),$E$4)</f>
        <v>#DIV/0!</v>
      </c>
      <c r="M61" s="25" t="e">
        <f ca="1">IF(G61="Всього:",SUM($M$5:M60),IF($E$5="UAH",J61+L61+K61,J61+K61))</f>
        <v>#VALUE!</v>
      </c>
      <c r="N61" s="27" t="str">
        <f ca="1">IF(G61="Всього:",SUM($N$4:N60),IF($E$5="UAH","",L61))</f>
        <v/>
      </c>
      <c r="O61" s="25" t="e">
        <f t="shared" ca="1" si="0"/>
        <v>#DIV/0!</v>
      </c>
      <c r="P61" s="33">
        <f t="shared" ca="1" si="1"/>
        <v>47915</v>
      </c>
      <c r="Q61" s="8" t="e">
        <f t="shared" ca="1" si="4"/>
        <v>#VALUE!</v>
      </c>
    </row>
    <row r="62" spans="6:18" s="8" customFormat="1" ht="13.2" x14ac:dyDescent="0.25">
      <c r="F62" s="34" t="str">
        <f t="shared" ca="1" si="2"/>
        <v/>
      </c>
      <c r="G62" s="23">
        <f t="shared" ca="1" si="5"/>
        <v>47946</v>
      </c>
      <c r="H62" s="24" t="str">
        <f t="shared" si="3"/>
        <v/>
      </c>
      <c r="I62" s="25" t="e">
        <f ca="1">IF($G62="Всього:",SUM($I$4:I61),MAX($C$32,K62))</f>
        <v>#VALUE!</v>
      </c>
      <c r="J62" s="25" t="e">
        <f ca="1">IF($G62="Всього:",SUM($J$4:J61),IF(I62-SUM(K62:L62)&lt;0,0,I62-SUM(K62:L62)))</f>
        <v>#VALUE!</v>
      </c>
      <c r="K62" s="25" t="e">
        <f ca="1">IF(G62="Всього:",SUM($K$5:K61),F62*O61/36000*(G62-G61))</f>
        <v>#VALUE!</v>
      </c>
      <c r="L62" s="25" t="e">
        <f ca="1">IF(G62="Всього:",SUM($L$5:L61),$E$4)</f>
        <v>#DIV/0!</v>
      </c>
      <c r="M62" s="25" t="e">
        <f ca="1">IF(G62="Всього:",SUM($M$5:M61),IF($E$5="UAH",J62+L62+K62,J62+K62))</f>
        <v>#VALUE!</v>
      </c>
      <c r="N62" s="27" t="str">
        <f ca="1">IF(G62="Всього:",SUM($N$4:N61),IF($E$5="UAH","",L62))</f>
        <v/>
      </c>
      <c r="O62" s="25" t="e">
        <f t="shared" ca="1" si="0"/>
        <v>#DIV/0!</v>
      </c>
      <c r="P62" s="33">
        <f t="shared" ca="1" si="1"/>
        <v>47946</v>
      </c>
      <c r="Q62" s="8" t="e">
        <f t="shared" ca="1" si="4"/>
        <v>#VALUE!</v>
      </c>
    </row>
    <row r="63" spans="6:18" s="8" customFormat="1" ht="13.2" x14ac:dyDescent="0.25">
      <c r="F63" s="34" t="str">
        <f t="shared" ca="1" si="2"/>
        <v/>
      </c>
      <c r="G63" s="23">
        <f t="shared" ca="1" si="5"/>
        <v>47976</v>
      </c>
      <c r="H63" s="24" t="str">
        <f t="shared" si="3"/>
        <v/>
      </c>
      <c r="I63" s="25" t="e">
        <f ca="1">IF($G63="Всього:",SUM($I$4:I62),MAX($C$32,K63))</f>
        <v>#VALUE!</v>
      </c>
      <c r="J63" s="25" t="e">
        <f ca="1">IF($G63="Всього:",SUM($J$4:J62),IF(I63-SUM(K63:L63)&lt;0,0,I63-SUM(K63:L63)))</f>
        <v>#VALUE!</v>
      </c>
      <c r="K63" s="25" t="e">
        <f ca="1">IF(G63="Всього:",SUM($K$5:K62),F63*O62/36000*(G63-G62))</f>
        <v>#VALUE!</v>
      </c>
      <c r="L63" s="25" t="e">
        <f ca="1">IF(G63="Всього:",SUM($L$5:L62),$E$4)</f>
        <v>#DIV/0!</v>
      </c>
      <c r="M63" s="25" t="e">
        <f ca="1">IF(G63="Всього:",SUM($M$5:M62),IF($E$5="UAH",J63+L63+K63,J63+K63))</f>
        <v>#VALUE!</v>
      </c>
      <c r="N63" s="27" t="str">
        <f ca="1">IF(G63="Всього:",SUM($N$4:N62),IF($E$5="UAH","",L63))</f>
        <v/>
      </c>
      <c r="O63" s="25" t="e">
        <f t="shared" ca="1" si="0"/>
        <v>#DIV/0!</v>
      </c>
      <c r="P63" s="33">
        <f t="shared" ca="1" si="1"/>
        <v>47976</v>
      </c>
      <c r="Q63" s="8" t="e">
        <f t="shared" ca="1" si="4"/>
        <v>#VALUE!</v>
      </c>
    </row>
    <row r="64" spans="6:18" s="8" customFormat="1" ht="13.2" x14ac:dyDescent="0.25">
      <c r="F64" s="34" t="str">
        <f t="shared" ca="1" si="2"/>
        <v/>
      </c>
      <c r="G64" s="23">
        <f t="shared" ca="1" si="5"/>
        <v>48007</v>
      </c>
      <c r="H64" s="24" t="str">
        <f t="shared" si="3"/>
        <v/>
      </c>
      <c r="I64" s="25" t="e">
        <f ca="1">IF($G64="Всього:",SUM($I$4:I63),MAX($C$32,K64))</f>
        <v>#VALUE!</v>
      </c>
      <c r="J64" s="25" t="e">
        <f ca="1">IF($G64="Всього:",SUM($J$4:J63),IF(I64-SUM(K64:L64)&lt;0,0,I64-SUM(K64:L64)))</f>
        <v>#VALUE!</v>
      </c>
      <c r="K64" s="25" t="e">
        <f ca="1">IF(G64="Всього:",SUM($K$5:K63),F64*O63/36000*(G64-G63))</f>
        <v>#VALUE!</v>
      </c>
      <c r="L64" s="25" t="e">
        <f ca="1">IF(G64="Всього:",SUM($L$5:L63),$E$4)</f>
        <v>#DIV/0!</v>
      </c>
      <c r="M64" s="25" t="e">
        <f ca="1">IF(G64="Всього:",SUM($M$5:M63),IF($E$5="UAH",J64+L64+K64,J64+K64))</f>
        <v>#VALUE!</v>
      </c>
      <c r="N64" s="27" t="str">
        <f ca="1">IF(G64="Всього:",SUM($N$4:N63),IF($E$5="UAH","",L64))</f>
        <v/>
      </c>
      <c r="O64" s="25" t="e">
        <f t="shared" ca="1" si="0"/>
        <v>#DIV/0!</v>
      </c>
      <c r="P64" s="33">
        <f t="shared" ca="1" si="1"/>
        <v>48007</v>
      </c>
      <c r="Q64" s="8" t="e">
        <f t="shared" ca="1" si="4"/>
        <v>#VALUE!</v>
      </c>
    </row>
    <row r="65" spans="6:18" s="8" customFormat="1" ht="13.2" x14ac:dyDescent="0.25">
      <c r="F65" s="34" t="str">
        <f t="shared" ca="1" si="2"/>
        <v/>
      </c>
      <c r="G65" s="23">
        <f t="shared" ca="1" si="5"/>
        <v>48037</v>
      </c>
      <c r="H65" s="24" t="str">
        <f t="shared" si="3"/>
        <v/>
      </c>
      <c r="I65" s="25" t="e">
        <f ca="1">IF($G65="Всього:",SUM($I$4:I64),MAX($C$32,K65))</f>
        <v>#VALUE!</v>
      </c>
      <c r="J65" s="25" t="e">
        <f ca="1">IF($G65="Всього:",SUM($J$4:J64),IF(I65-SUM(K65:L65)&lt;0,0,I65-SUM(K65:L65)))</f>
        <v>#VALUE!</v>
      </c>
      <c r="K65" s="25" t="e">
        <f ca="1">IF(G65="Всього:",SUM($K$5:K64),F65*O64/36000*(G65-G64))</f>
        <v>#VALUE!</v>
      </c>
      <c r="L65" s="25" t="e">
        <f ca="1">IF(G65="Всього:",SUM($L$5:L64),$E$4)</f>
        <v>#DIV/0!</v>
      </c>
      <c r="M65" s="25" t="e">
        <f ca="1">IF(G65="Всього:",SUM($M$5:M64),IF($E$5="UAH",J65+L65+K65,J65+K65))</f>
        <v>#VALUE!</v>
      </c>
      <c r="N65" s="27" t="str">
        <f ca="1">IF(G65="Всього:",SUM($N$4:N64),IF($E$5="UAH","",L65))</f>
        <v/>
      </c>
      <c r="O65" s="25" t="e">
        <f t="shared" ca="1" si="0"/>
        <v>#DIV/0!</v>
      </c>
      <c r="P65" s="33">
        <f t="shared" ca="1" si="1"/>
        <v>48037</v>
      </c>
      <c r="Q65" s="8" t="e">
        <f t="shared" ca="1" si="4"/>
        <v>#VALUE!</v>
      </c>
      <c r="R65" s="8" t="str">
        <f>IF(E8&gt;H65,$AA$7*0.9*0.9*0.9*0.9*0.9*5.48%,"")</f>
        <v/>
      </c>
    </row>
    <row r="66" spans="6:18" s="8" customFormat="1" ht="13.2" x14ac:dyDescent="0.25">
      <c r="F66" s="34" t="str">
        <f t="shared" ca="1" si="2"/>
        <v/>
      </c>
      <c r="G66" s="23">
        <f t="shared" ca="1" si="5"/>
        <v>48068</v>
      </c>
      <c r="H66" s="24" t="str">
        <f t="shared" si="3"/>
        <v/>
      </c>
      <c r="I66" s="25" t="e">
        <f ca="1">IF($G66="Всього:",SUM($I$4:I65),MAX($C$32,K66))</f>
        <v>#VALUE!</v>
      </c>
      <c r="J66" s="25" t="e">
        <f ca="1">IF($G66="Всього:",SUM($J$4:J65),IF(I66-SUM(K66:L66)&lt;0,0,I66-SUM(K66:L66)))</f>
        <v>#VALUE!</v>
      </c>
      <c r="K66" s="25" t="e">
        <f ca="1">IF(G66="Всього:",SUM($K$5:K65),F66*O65/36000*(G66-G65))</f>
        <v>#VALUE!</v>
      </c>
      <c r="L66" s="25" t="e">
        <f ca="1">IF(G66="Всього:",SUM($L$5:L65),$E$4)</f>
        <v>#DIV/0!</v>
      </c>
      <c r="M66" s="25" t="e">
        <f ca="1">IF(G66="Всього:",SUM($M$5:M65),IF($E$5="UAH",J66+L66+K66,J66+K66))</f>
        <v>#VALUE!</v>
      </c>
      <c r="N66" s="27" t="str">
        <f ca="1">IF(G66="Всього:",SUM($N$4:N65),IF($E$5="UAH","",L66))</f>
        <v/>
      </c>
      <c r="O66" s="25" t="e">
        <f t="shared" ca="1" si="0"/>
        <v>#DIV/0!</v>
      </c>
      <c r="P66" s="33">
        <f t="shared" ca="1" si="1"/>
        <v>48068</v>
      </c>
      <c r="Q66" s="8" t="e">
        <f t="shared" ca="1" si="4"/>
        <v>#VALUE!</v>
      </c>
    </row>
    <row r="67" spans="6:18" s="8" customFormat="1" ht="13.2" x14ac:dyDescent="0.25">
      <c r="F67" s="34" t="str">
        <f t="shared" ca="1" si="2"/>
        <v/>
      </c>
      <c r="G67" s="23">
        <f t="shared" ca="1" si="5"/>
        <v>48099</v>
      </c>
      <c r="H67" s="24" t="str">
        <f t="shared" si="3"/>
        <v/>
      </c>
      <c r="I67" s="25" t="e">
        <f ca="1">IF($G67="Всього:",SUM($I$4:I66),MAX($C$32,K67))</f>
        <v>#VALUE!</v>
      </c>
      <c r="J67" s="25" t="e">
        <f ca="1">IF($G67="Всього:",SUM($J$4:J66),IF(I67-SUM(K67:L67)&lt;0,0,I67-SUM(K67:L67)))</f>
        <v>#VALUE!</v>
      </c>
      <c r="K67" s="25" t="e">
        <f ca="1">IF(G67="Всього:",SUM($K$5:K66),F67*O66/36000*(G67-G66))</f>
        <v>#VALUE!</v>
      </c>
      <c r="L67" s="25" t="e">
        <f ca="1">IF(G67="Всього:",SUM($L$5:L66),$E$4)</f>
        <v>#DIV/0!</v>
      </c>
      <c r="M67" s="25" t="e">
        <f ca="1">IF(G67="Всього:",SUM($M$5:M66),IF($E$5="UAH",J67+L67+K67,J67+K67))</f>
        <v>#VALUE!</v>
      </c>
      <c r="N67" s="27" t="str">
        <f ca="1">IF(G67="Всього:",SUM($N$4:N66),IF($E$5="UAH","",L67))</f>
        <v/>
      </c>
      <c r="O67" s="25" t="e">
        <f t="shared" ca="1" si="0"/>
        <v>#DIV/0!</v>
      </c>
      <c r="P67" s="33">
        <f t="shared" ca="1" si="1"/>
        <v>48099</v>
      </c>
      <c r="Q67" s="8" t="e">
        <f t="shared" ca="1" si="4"/>
        <v>#VALUE!</v>
      </c>
    </row>
    <row r="68" spans="6:18" s="8" customFormat="1" ht="13.2" x14ac:dyDescent="0.25">
      <c r="F68" s="34" t="str">
        <f t="shared" ca="1" si="2"/>
        <v/>
      </c>
      <c r="G68" s="23">
        <f t="shared" ca="1" si="5"/>
        <v>48129</v>
      </c>
      <c r="H68" s="24" t="str">
        <f t="shared" si="3"/>
        <v/>
      </c>
      <c r="I68" s="25" t="e">
        <f ca="1">IF($G68="Всього:",SUM($I$4:I67),MAX($C$32,K68))</f>
        <v>#VALUE!</v>
      </c>
      <c r="J68" s="25" t="e">
        <f ca="1">IF($G68="Всього:",SUM($J$4:J67),IF(I68-SUM(K68:L68)&lt;0,0,I68-SUM(K68:L68)))</f>
        <v>#VALUE!</v>
      </c>
      <c r="K68" s="25" t="e">
        <f ca="1">IF(G68="Всього:",SUM($K$5:K67),F68*O67/36000*(G68-G67))</f>
        <v>#VALUE!</v>
      </c>
      <c r="L68" s="25" t="e">
        <f ca="1">IF(G68="Всього:",SUM($L$5:L67),$E$4)</f>
        <v>#DIV/0!</v>
      </c>
      <c r="M68" s="25" t="e">
        <f ca="1">IF(G68="Всього:",SUM($M$5:M67),IF($E$5="UAH",J68+L68+K68,J68+K68))</f>
        <v>#VALUE!</v>
      </c>
      <c r="N68" s="27" t="str">
        <f ca="1">IF(G68="Всього:",SUM($N$4:N67),IF($E$5="UAH","",L68))</f>
        <v/>
      </c>
      <c r="O68" s="25" t="e">
        <f t="shared" ca="1" si="0"/>
        <v>#DIV/0!</v>
      </c>
      <c r="P68" s="33">
        <f t="shared" ca="1" si="1"/>
        <v>48129</v>
      </c>
      <c r="Q68" s="8" t="e">
        <f t="shared" ca="1" si="4"/>
        <v>#VALUE!</v>
      </c>
    </row>
    <row r="69" spans="6:18" s="8" customFormat="1" ht="13.2" x14ac:dyDescent="0.25">
      <c r="F69" s="34" t="str">
        <f t="shared" ca="1" si="2"/>
        <v/>
      </c>
      <c r="G69" s="23">
        <f t="shared" ca="1" si="5"/>
        <v>48160</v>
      </c>
      <c r="H69" s="24" t="str">
        <f t="shared" si="3"/>
        <v/>
      </c>
      <c r="I69" s="25" t="e">
        <f ca="1">IF($G69="Всього:",SUM($I$4:I68),MAX($C$32,K69))</f>
        <v>#VALUE!</v>
      </c>
      <c r="J69" s="25" t="e">
        <f ca="1">IF($G69="Всього:",SUM($J$4:J68),IF(I69-SUM(K69:L69)&lt;0,0,I69-SUM(K69:L69)))</f>
        <v>#VALUE!</v>
      </c>
      <c r="K69" s="25" t="e">
        <f ca="1">IF(G69="Всього:",SUM($K$5:K68),F69*O68/36000*(G69-G68))</f>
        <v>#VALUE!</v>
      </c>
      <c r="L69" s="25" t="e">
        <f ca="1">IF(G69="Всього:",SUM($L$5:L68),$E$4)</f>
        <v>#DIV/0!</v>
      </c>
      <c r="M69" s="25" t="e">
        <f ca="1">IF(G69="Всього:",SUM($M$5:M68),IF($E$5="UAH",J69+L69+K69,J69+K69))</f>
        <v>#VALUE!</v>
      </c>
      <c r="N69" s="27" t="str">
        <f ca="1">IF(G69="Всього:",SUM($N$4:N68),IF($E$5="UAH","",L69))</f>
        <v/>
      </c>
      <c r="O69" s="25" t="e">
        <f t="shared" ref="O69:O132" ca="1" si="8">O68-J69</f>
        <v>#DIV/0!</v>
      </c>
      <c r="P69" s="33">
        <f t="shared" ref="P69:P132" ca="1" si="9">G69</f>
        <v>48160</v>
      </c>
      <c r="Q69" s="8" t="e">
        <f t="shared" ca="1" si="4"/>
        <v>#VALUE!</v>
      </c>
    </row>
    <row r="70" spans="6:18" s="8" customFormat="1" ht="13.2" x14ac:dyDescent="0.25">
      <c r="F70" s="34" t="str">
        <f t="shared" ref="F70:F133" ca="1" si="10">IF(G70="Всього:","",IF(AND(G70&gt;$B$9,G70&lt;=$B$10),$C$16,IF(AND(G70&gt;$B$9,G70&lt;=$B$11),$D$16,IF(AND(G70&gt;$B$10,G70&lt;=$B$14),$E$16,$B$16))))</f>
        <v/>
      </c>
      <c r="G70" s="23">
        <f t="shared" ca="1" si="5"/>
        <v>48190</v>
      </c>
      <c r="H70" s="24" t="str">
        <f t="shared" ref="H70:H133" si="11">IF(H69&gt;$E$8,"",H69+1)</f>
        <v/>
      </c>
      <c r="I70" s="25" t="e">
        <f ca="1">IF($G70="Всього:",SUM($I$4:I69),MAX($C$32,K70))</f>
        <v>#VALUE!</v>
      </c>
      <c r="J70" s="25" t="e">
        <f ca="1">IF($G70="Всього:",SUM($J$4:J69),IF(I70-SUM(K70:L70)&lt;0,0,I70-SUM(K70:L70)))</f>
        <v>#VALUE!</v>
      </c>
      <c r="K70" s="25" t="e">
        <f ca="1">IF(G70="Всього:",SUM($K$5:K69),F70*O69/36000*(G70-G69))</f>
        <v>#VALUE!</v>
      </c>
      <c r="L70" s="25" t="e">
        <f ca="1">IF(G70="Всього:",SUM($L$5:L69),$E$4)</f>
        <v>#DIV/0!</v>
      </c>
      <c r="M70" s="25" t="e">
        <f ca="1">IF(G70="Всього:",SUM($M$5:M69),IF($E$5="UAH",J70+L70+K70,J70+K70))</f>
        <v>#VALUE!</v>
      </c>
      <c r="N70" s="27" t="str">
        <f ca="1">IF(G70="Всього:",SUM($N$4:N69),IF($E$5="UAH","",L70))</f>
        <v/>
      </c>
      <c r="O70" s="25" t="e">
        <f t="shared" ca="1" si="8"/>
        <v>#DIV/0!</v>
      </c>
      <c r="P70" s="33">
        <f t="shared" ca="1" si="9"/>
        <v>48190</v>
      </c>
      <c r="Q70" s="8" t="e">
        <f t="shared" ref="Q70:Q133" ca="1" si="12">IF(R71="",I70,IFERROR(I70+R71,0))</f>
        <v>#VALUE!</v>
      </c>
    </row>
    <row r="71" spans="6:18" s="8" customFormat="1" ht="13.2" x14ac:dyDescent="0.25">
      <c r="F71" s="34" t="str">
        <f t="shared" ca="1" si="10"/>
        <v/>
      </c>
      <c r="G71" s="23">
        <f t="shared" ref="G71:G134" ca="1" si="13">IF(H70=$E$3,"Всього:",IF($E$3=H71,$B$14,DATE(YEAR(G70),MONTH(G70)+1,IF($B$7&lt;&gt;"",DAY(IF($B$7&gt;DAY(EOMONTH(G70,1)),EOMONTH(G70,1),$B$7)),DAY(1)))))</f>
        <v>48221</v>
      </c>
      <c r="H71" s="24" t="str">
        <f t="shared" si="11"/>
        <v/>
      </c>
      <c r="I71" s="25" t="e">
        <f ca="1">IF($G71="Всього:",SUM($I$4:I70),MAX($C$32,K71))</f>
        <v>#VALUE!</v>
      </c>
      <c r="J71" s="25" t="e">
        <f ca="1">IF($G71="Всього:",SUM($J$4:J70),IF(I71-SUM(K71:L71)&lt;0,0,I71-SUM(K71:L71)))</f>
        <v>#VALUE!</v>
      </c>
      <c r="K71" s="25" t="e">
        <f ca="1">IF(G71="Всього:",SUM($K$5:K70),F71*O70/36000*(G71-G70))</f>
        <v>#VALUE!</v>
      </c>
      <c r="L71" s="25" t="e">
        <f ca="1">IF(G71="Всього:",SUM($L$5:L70),$E$4)</f>
        <v>#DIV/0!</v>
      </c>
      <c r="M71" s="25" t="e">
        <f ca="1">IF(G71="Всього:",SUM($M$5:M70),IF($E$5="UAH",J71+L71+K71,J71+K71))</f>
        <v>#VALUE!</v>
      </c>
      <c r="N71" s="27" t="str">
        <f ca="1">IF(G71="Всього:",SUM($N$4:N70),IF($E$5="UAH","",L71))</f>
        <v/>
      </c>
      <c r="O71" s="25" t="e">
        <f t="shared" ca="1" si="8"/>
        <v>#DIV/0!</v>
      </c>
      <c r="P71" s="33">
        <f t="shared" ca="1" si="9"/>
        <v>48221</v>
      </c>
      <c r="Q71" s="8" t="e">
        <f t="shared" ca="1" si="12"/>
        <v>#VALUE!</v>
      </c>
    </row>
    <row r="72" spans="6:18" s="8" customFormat="1" ht="13.2" x14ac:dyDescent="0.25">
      <c r="F72" s="34" t="str">
        <f t="shared" ca="1" si="10"/>
        <v/>
      </c>
      <c r="G72" s="23">
        <f t="shared" ca="1" si="13"/>
        <v>48252</v>
      </c>
      <c r="H72" s="24" t="str">
        <f t="shared" si="11"/>
        <v/>
      </c>
      <c r="I72" s="25" t="e">
        <f ca="1">IF($G72="Всього:",SUM($I$4:I71),MAX($C$32,K72))</f>
        <v>#VALUE!</v>
      </c>
      <c r="J72" s="25" t="e">
        <f ca="1">IF($G72="Всього:",SUM($J$4:J71),IF(I72-SUM(K72:L72)&lt;0,0,I72-SUM(K72:L72)))</f>
        <v>#VALUE!</v>
      </c>
      <c r="K72" s="25" t="e">
        <f ca="1">IF(G72="Всього:",SUM($K$5:K71),F72*O71/36000*(G72-G71))</f>
        <v>#VALUE!</v>
      </c>
      <c r="L72" s="25" t="e">
        <f ca="1">IF(G72="Всього:",SUM($L$5:L71),$E$4)</f>
        <v>#DIV/0!</v>
      </c>
      <c r="M72" s="25" t="e">
        <f ca="1">IF(G72="Всього:",SUM($M$5:M71),IF($E$5="UAH",J72+L72+K72,J72+K72))</f>
        <v>#VALUE!</v>
      </c>
      <c r="N72" s="27" t="str">
        <f ca="1">IF(G72="Всього:",SUM($N$4:N71),IF($E$5="UAH","",L72))</f>
        <v/>
      </c>
      <c r="O72" s="25" t="e">
        <f t="shared" ca="1" si="8"/>
        <v>#DIV/0!</v>
      </c>
      <c r="P72" s="33">
        <f t="shared" ca="1" si="9"/>
        <v>48252</v>
      </c>
      <c r="Q72" s="8" t="e">
        <f t="shared" ca="1" si="12"/>
        <v>#VALUE!</v>
      </c>
    </row>
    <row r="73" spans="6:18" s="8" customFormat="1" ht="13.2" x14ac:dyDescent="0.25">
      <c r="F73" s="34" t="str">
        <f t="shared" ca="1" si="10"/>
        <v/>
      </c>
      <c r="G73" s="23">
        <f t="shared" ca="1" si="13"/>
        <v>48281</v>
      </c>
      <c r="H73" s="24" t="str">
        <f t="shared" si="11"/>
        <v/>
      </c>
      <c r="I73" s="25" t="e">
        <f ca="1">IF($G73="Всього:",SUM($I$4:I72),MAX($C$32,K73))</f>
        <v>#VALUE!</v>
      </c>
      <c r="J73" s="25" t="e">
        <f ca="1">IF($G73="Всього:",SUM($J$4:J72),IF(I73-SUM(K73:L73)&lt;0,0,I73-SUM(K73:L73)))</f>
        <v>#VALUE!</v>
      </c>
      <c r="K73" s="25" t="e">
        <f ca="1">IF(G73="Всього:",SUM($K$5:K72),F73*O72/36000*(G73-G72))</f>
        <v>#VALUE!</v>
      </c>
      <c r="L73" s="25" t="e">
        <f ca="1">IF(G73="Всього:",SUM($L$5:L72),$E$4)</f>
        <v>#DIV/0!</v>
      </c>
      <c r="M73" s="25" t="e">
        <f ca="1">IF(G73="Всього:",SUM($M$5:M72),IF($E$5="UAH",J73+L73+K73,J73+K73))</f>
        <v>#VALUE!</v>
      </c>
      <c r="N73" s="27" t="str">
        <f ca="1">IF(G73="Всього:",SUM($N$4:N72),IF($E$5="UAH","",L73))</f>
        <v/>
      </c>
      <c r="O73" s="25" t="e">
        <f t="shared" ca="1" si="8"/>
        <v>#DIV/0!</v>
      </c>
      <c r="P73" s="33">
        <f t="shared" ca="1" si="9"/>
        <v>48281</v>
      </c>
      <c r="Q73" s="8" t="e">
        <f t="shared" ca="1" si="12"/>
        <v>#VALUE!</v>
      </c>
    </row>
    <row r="74" spans="6:18" s="8" customFormat="1" ht="13.2" x14ac:dyDescent="0.25">
      <c r="F74" s="34" t="str">
        <f t="shared" ca="1" si="10"/>
        <v/>
      </c>
      <c r="G74" s="23">
        <f t="shared" ca="1" si="13"/>
        <v>48312</v>
      </c>
      <c r="H74" s="24" t="str">
        <f t="shared" si="11"/>
        <v/>
      </c>
      <c r="I74" s="25" t="e">
        <f ca="1">IF($G74="Всього:",SUM($I$4:I73),MAX($C$32,K74))</f>
        <v>#VALUE!</v>
      </c>
      <c r="J74" s="25" t="e">
        <f ca="1">IF($G74="Всього:",SUM($J$4:J73),IF(I74-SUM(K74:L74)&lt;0,0,I74-SUM(K74:L74)))</f>
        <v>#VALUE!</v>
      </c>
      <c r="K74" s="25" t="e">
        <f ca="1">IF(G74="Всього:",SUM($K$5:K73),F74*O73/36000*(G74-G73))</f>
        <v>#VALUE!</v>
      </c>
      <c r="L74" s="25" t="e">
        <f ca="1">IF(G74="Всього:",SUM($L$5:L73),$E$4)</f>
        <v>#DIV/0!</v>
      </c>
      <c r="M74" s="25" t="e">
        <f ca="1">IF(G74="Всього:",SUM($M$5:M73),IF($E$5="UAH",J74+L74+K74,J74+K74))</f>
        <v>#VALUE!</v>
      </c>
      <c r="N74" s="27" t="str">
        <f ca="1">IF(G74="Всього:",SUM($N$4:N73),IF($E$5="UAH","",L74))</f>
        <v/>
      </c>
      <c r="O74" s="25" t="e">
        <f t="shared" ca="1" si="8"/>
        <v>#DIV/0!</v>
      </c>
      <c r="P74" s="33">
        <f t="shared" ca="1" si="9"/>
        <v>48312</v>
      </c>
      <c r="Q74" s="8" t="e">
        <f t="shared" ca="1" si="12"/>
        <v>#VALUE!</v>
      </c>
    </row>
    <row r="75" spans="6:18" s="8" customFormat="1" ht="13.2" x14ac:dyDescent="0.25">
      <c r="F75" s="34" t="str">
        <f t="shared" ca="1" si="10"/>
        <v/>
      </c>
      <c r="G75" s="23">
        <f t="shared" ca="1" si="13"/>
        <v>48342</v>
      </c>
      <c r="H75" s="24" t="str">
        <f t="shared" si="11"/>
        <v/>
      </c>
      <c r="I75" s="25" t="e">
        <f ca="1">IF($G75="Всього:",SUM($I$4:I74),MAX($C$32,K75))</f>
        <v>#VALUE!</v>
      </c>
      <c r="J75" s="25" t="e">
        <f ca="1">IF($G75="Всього:",SUM($J$4:J74),IF(I75-SUM(K75:L75)&lt;0,0,I75-SUM(K75:L75)))</f>
        <v>#VALUE!</v>
      </c>
      <c r="K75" s="25" t="e">
        <f ca="1">IF(G75="Всього:",SUM($K$5:K74),F75*O74/36000*(G75-G74))</f>
        <v>#VALUE!</v>
      </c>
      <c r="L75" s="25" t="e">
        <f ca="1">IF(G75="Всього:",SUM($L$5:L74),$E$4)</f>
        <v>#DIV/0!</v>
      </c>
      <c r="M75" s="25" t="e">
        <f ca="1">IF(G75="Всього:",SUM($M$5:M74),IF($E$5="UAH",J75+L75+K75,J75+K75))</f>
        <v>#VALUE!</v>
      </c>
      <c r="N75" s="27" t="str">
        <f ca="1">IF(G75="Всього:",SUM($N$4:N74),IF($E$5="UAH","",L75))</f>
        <v/>
      </c>
      <c r="O75" s="25" t="e">
        <f t="shared" ca="1" si="8"/>
        <v>#DIV/0!</v>
      </c>
      <c r="P75" s="33">
        <f t="shared" ca="1" si="9"/>
        <v>48342</v>
      </c>
      <c r="Q75" s="8" t="e">
        <f t="shared" ca="1" si="12"/>
        <v>#VALUE!</v>
      </c>
    </row>
    <row r="76" spans="6:18" s="8" customFormat="1" ht="13.2" x14ac:dyDescent="0.25">
      <c r="F76" s="34" t="str">
        <f t="shared" ca="1" si="10"/>
        <v/>
      </c>
      <c r="G76" s="23">
        <f t="shared" ca="1" si="13"/>
        <v>48373</v>
      </c>
      <c r="H76" s="24" t="str">
        <f t="shared" si="11"/>
        <v/>
      </c>
      <c r="I76" s="25" t="e">
        <f ca="1">IF($G76="Всього:",SUM($I$4:I75),MAX($C$32,K76))</f>
        <v>#VALUE!</v>
      </c>
      <c r="J76" s="25" t="e">
        <f ca="1">IF($G76="Всього:",SUM($J$4:J75),IF(I76-SUM(K76:L76)&lt;0,0,I76-SUM(K76:L76)))</f>
        <v>#VALUE!</v>
      </c>
      <c r="K76" s="25" t="e">
        <f ca="1">IF(G76="Всього:",SUM($K$5:K75),F76*O75/36000*(G76-G75))</f>
        <v>#VALUE!</v>
      </c>
      <c r="L76" s="25" t="e">
        <f ca="1">IF(G76="Всього:",SUM($L$5:L75),$E$4)</f>
        <v>#DIV/0!</v>
      </c>
      <c r="M76" s="25" t="e">
        <f ca="1">IF(G76="Всього:",SUM($M$5:M75),IF($E$5="UAH",J76+L76+K76,J76+K76))</f>
        <v>#VALUE!</v>
      </c>
      <c r="N76" s="27" t="str">
        <f ca="1">IF(G76="Всього:",SUM($N$4:N75),IF($E$5="UAH","",L76))</f>
        <v/>
      </c>
      <c r="O76" s="25" t="e">
        <f t="shared" ca="1" si="8"/>
        <v>#DIV/0!</v>
      </c>
      <c r="P76" s="33">
        <f t="shared" ca="1" si="9"/>
        <v>48373</v>
      </c>
      <c r="Q76" s="8" t="e">
        <f t="shared" ca="1" si="12"/>
        <v>#VALUE!</v>
      </c>
    </row>
    <row r="77" spans="6:18" s="8" customFormat="1" ht="13.2" x14ac:dyDescent="0.25">
      <c r="F77" s="34" t="str">
        <f t="shared" ca="1" si="10"/>
        <v/>
      </c>
      <c r="G77" s="23">
        <f t="shared" ca="1" si="13"/>
        <v>48403</v>
      </c>
      <c r="H77" s="24" t="str">
        <f t="shared" si="11"/>
        <v/>
      </c>
      <c r="I77" s="25" t="e">
        <f ca="1">IF($G77="Всього:",SUM($I$4:I76),MAX($C$32,K77))</f>
        <v>#VALUE!</v>
      </c>
      <c r="J77" s="25" t="e">
        <f ca="1">IF($G77="Всього:",SUM($J$4:J76),IF(I77-SUM(K77:L77)&lt;0,0,I77-SUM(K77:L77)))</f>
        <v>#VALUE!</v>
      </c>
      <c r="K77" s="25" t="e">
        <f ca="1">IF(G77="Всього:",SUM($K$5:K76),F77*O76/36000*(G77-G76))</f>
        <v>#VALUE!</v>
      </c>
      <c r="L77" s="25" t="e">
        <f ca="1">IF(G77="Всього:",SUM($L$5:L76),$E$4)</f>
        <v>#DIV/0!</v>
      </c>
      <c r="M77" s="25" t="e">
        <f ca="1">IF(G77="Всього:",SUM($M$5:M76),IF($E$5="UAH",J77+L77+K77,J77+K77))</f>
        <v>#VALUE!</v>
      </c>
      <c r="N77" s="27" t="str">
        <f ca="1">IF(G77="Всього:",SUM($N$4:N76),IF($E$5="UAH","",L77))</f>
        <v/>
      </c>
      <c r="O77" s="25" t="e">
        <f t="shared" ca="1" si="8"/>
        <v>#DIV/0!</v>
      </c>
      <c r="P77" s="33">
        <f t="shared" ca="1" si="9"/>
        <v>48403</v>
      </c>
      <c r="Q77" s="8" t="e">
        <f t="shared" ca="1" si="12"/>
        <v>#VALUE!</v>
      </c>
      <c r="R77" s="8" t="str">
        <f>IF(E8&gt;H77,$AA$7*0.9*0.9*0.9*0.9*0.9*0.9*5.48%,"")</f>
        <v/>
      </c>
    </row>
    <row r="78" spans="6:18" s="8" customFormat="1" ht="13.2" x14ac:dyDescent="0.25">
      <c r="F78" s="34" t="str">
        <f t="shared" ca="1" si="10"/>
        <v/>
      </c>
      <c r="G78" s="23">
        <f t="shared" ca="1" si="13"/>
        <v>48434</v>
      </c>
      <c r="H78" s="24" t="str">
        <f t="shared" si="11"/>
        <v/>
      </c>
      <c r="I78" s="25" t="e">
        <f ca="1">IF($G78="Всього:",SUM($I$4:I77),MAX($C$32,K78))</f>
        <v>#VALUE!</v>
      </c>
      <c r="J78" s="25" t="e">
        <f ca="1">IF($G78="Всього:",SUM($J$4:J77),IF(I78-SUM(K78:L78)&lt;0,0,I78-SUM(K78:L78)))</f>
        <v>#VALUE!</v>
      </c>
      <c r="K78" s="25" t="e">
        <f ca="1">IF(G78="Всього:",SUM($K$5:K77),F78*O77/36000*(G78-G77))</f>
        <v>#VALUE!</v>
      </c>
      <c r="L78" s="25" t="e">
        <f ca="1">IF(G78="Всього:",SUM($L$5:L77),$E$4)</f>
        <v>#DIV/0!</v>
      </c>
      <c r="M78" s="25" t="e">
        <f ca="1">IF(G78="Всього:",SUM($M$5:M77),IF($E$5="UAH",J78+L78+K78,J78+K78))</f>
        <v>#VALUE!</v>
      </c>
      <c r="N78" s="27" t="str">
        <f ca="1">IF(G78="Всього:",SUM($N$4:N77),IF($E$5="UAH","",L78))</f>
        <v/>
      </c>
      <c r="O78" s="25" t="e">
        <f t="shared" ca="1" si="8"/>
        <v>#DIV/0!</v>
      </c>
      <c r="P78" s="33">
        <f t="shared" ca="1" si="9"/>
        <v>48434</v>
      </c>
      <c r="Q78" s="8" t="e">
        <f t="shared" ca="1" si="12"/>
        <v>#VALUE!</v>
      </c>
    </row>
    <row r="79" spans="6:18" s="8" customFormat="1" ht="13.2" x14ac:dyDescent="0.25">
      <c r="F79" s="34" t="str">
        <f t="shared" ca="1" si="10"/>
        <v/>
      </c>
      <c r="G79" s="23">
        <f t="shared" ca="1" si="13"/>
        <v>48465</v>
      </c>
      <c r="H79" s="24" t="str">
        <f t="shared" si="11"/>
        <v/>
      </c>
      <c r="I79" s="25" t="e">
        <f ca="1">IF($G79="Всього:",SUM($I$4:I78),MAX($C$32,K79))</f>
        <v>#VALUE!</v>
      </c>
      <c r="J79" s="25" t="e">
        <f ca="1">IF($G79="Всього:",SUM($J$4:J78),IF(I79-SUM(K79:L79)&lt;0,0,I79-SUM(K79:L79)))</f>
        <v>#VALUE!</v>
      </c>
      <c r="K79" s="25" t="e">
        <f ca="1">IF(G79="Всього:",SUM($K$5:K78),F79*O78/36000*(G79-G78))</f>
        <v>#VALUE!</v>
      </c>
      <c r="L79" s="25" t="e">
        <f ca="1">IF(G79="Всього:",SUM($L$5:L78),$E$4)</f>
        <v>#DIV/0!</v>
      </c>
      <c r="M79" s="25" t="e">
        <f ca="1">IF(G79="Всього:",SUM($M$5:M78),IF($E$5="UAH",J79+L79+K79,J79+K79))</f>
        <v>#VALUE!</v>
      </c>
      <c r="N79" s="27" t="str">
        <f ca="1">IF(G79="Всього:",SUM($N$4:N78),IF($E$5="UAH","",L79))</f>
        <v/>
      </c>
      <c r="O79" s="25" t="e">
        <f t="shared" ca="1" si="8"/>
        <v>#DIV/0!</v>
      </c>
      <c r="P79" s="33">
        <f t="shared" ca="1" si="9"/>
        <v>48465</v>
      </c>
      <c r="Q79" s="8" t="e">
        <f t="shared" ca="1" si="12"/>
        <v>#VALUE!</v>
      </c>
    </row>
    <row r="80" spans="6:18" s="8" customFormat="1" ht="13.2" x14ac:dyDescent="0.25">
      <c r="F80" s="34" t="str">
        <f t="shared" ca="1" si="10"/>
        <v/>
      </c>
      <c r="G80" s="23">
        <f t="shared" ca="1" si="13"/>
        <v>48495</v>
      </c>
      <c r="H80" s="24" t="str">
        <f t="shared" si="11"/>
        <v/>
      </c>
      <c r="I80" s="25" t="e">
        <f ca="1">IF($G80="Всього:",SUM($I$4:I79),MAX($C$32,K80))</f>
        <v>#VALUE!</v>
      </c>
      <c r="J80" s="25" t="e">
        <f ca="1">IF($G80="Всього:",SUM($J$4:J79),IF(I80-SUM(K80:L80)&lt;0,0,I80-SUM(K80:L80)))</f>
        <v>#VALUE!</v>
      </c>
      <c r="K80" s="25" t="e">
        <f ca="1">IF(G80="Всього:",SUM($K$5:K79),F80*O79/36000*(G80-G79))</f>
        <v>#VALUE!</v>
      </c>
      <c r="L80" s="25" t="e">
        <f ca="1">IF(G80="Всього:",SUM($L$5:L79),$E$4)</f>
        <v>#DIV/0!</v>
      </c>
      <c r="M80" s="25" t="e">
        <f ca="1">IF(G80="Всього:",SUM($M$5:M79),IF($E$5="UAH",J80+L80+K80,J80+K80))</f>
        <v>#VALUE!</v>
      </c>
      <c r="N80" s="27" t="str">
        <f ca="1">IF(G80="Всього:",SUM($N$4:N79),IF($E$5="UAH","",L80))</f>
        <v/>
      </c>
      <c r="O80" s="25" t="e">
        <f t="shared" ca="1" si="8"/>
        <v>#DIV/0!</v>
      </c>
      <c r="P80" s="33">
        <f t="shared" ca="1" si="9"/>
        <v>48495</v>
      </c>
      <c r="Q80" s="8" t="e">
        <f t="shared" ca="1" si="12"/>
        <v>#VALUE!</v>
      </c>
    </row>
    <row r="81" spans="6:17" s="8" customFormat="1" ht="13.2" x14ac:dyDescent="0.25">
      <c r="F81" s="34" t="str">
        <f t="shared" ca="1" si="10"/>
        <v/>
      </c>
      <c r="G81" s="23">
        <f t="shared" ca="1" si="13"/>
        <v>48526</v>
      </c>
      <c r="H81" s="24" t="str">
        <f t="shared" si="11"/>
        <v/>
      </c>
      <c r="I81" s="25" t="e">
        <f ca="1">IF($G81="Всього:",SUM($I$4:I80),MAX($C$32,K81))</f>
        <v>#VALUE!</v>
      </c>
      <c r="J81" s="25" t="e">
        <f ca="1">IF($G81="Всього:",SUM($J$4:J80),IF(I81-SUM(K81:L81)&lt;0,0,I81-SUM(K81:L81)))</f>
        <v>#VALUE!</v>
      </c>
      <c r="K81" s="25" t="e">
        <f ca="1">IF(G81="Всього:",SUM($K$5:K80),F81*O80/36000*(G81-G80))</f>
        <v>#VALUE!</v>
      </c>
      <c r="L81" s="25" t="e">
        <f ca="1">IF(G81="Всього:",SUM($L$5:L80),$E$4)</f>
        <v>#DIV/0!</v>
      </c>
      <c r="M81" s="25" t="e">
        <f ca="1">IF(G81="Всього:",SUM($M$5:M80),IF($E$5="UAH",J81+L81+K81,J81+K81))</f>
        <v>#VALUE!</v>
      </c>
      <c r="N81" s="27" t="str">
        <f ca="1">IF(G81="Всього:",SUM($N$4:N80),IF($E$5="UAH","",L81))</f>
        <v/>
      </c>
      <c r="O81" s="25" t="e">
        <f t="shared" ca="1" si="8"/>
        <v>#DIV/0!</v>
      </c>
      <c r="P81" s="33">
        <f t="shared" ca="1" si="9"/>
        <v>48526</v>
      </c>
      <c r="Q81" s="8" t="e">
        <f t="shared" ca="1" si="12"/>
        <v>#VALUE!</v>
      </c>
    </row>
    <row r="82" spans="6:17" s="8" customFormat="1" ht="13.2" x14ac:dyDescent="0.25">
      <c r="F82" s="34" t="str">
        <f t="shared" ca="1" si="10"/>
        <v/>
      </c>
      <c r="G82" s="23">
        <f t="shared" ca="1" si="13"/>
        <v>48556</v>
      </c>
      <c r="H82" s="24" t="str">
        <f t="shared" si="11"/>
        <v/>
      </c>
      <c r="I82" s="25" t="e">
        <f ca="1">IF($G82="Всього:",SUM($I$4:I81),MAX($C$32,K82))</f>
        <v>#VALUE!</v>
      </c>
      <c r="J82" s="25" t="e">
        <f ca="1">IF($G82="Всього:",SUM($J$4:J81),IF(I82-SUM(K82:L82)&lt;0,0,I82-SUM(K82:L82)))</f>
        <v>#VALUE!</v>
      </c>
      <c r="K82" s="25" t="e">
        <f ca="1">IF(G82="Всього:",SUM($K$5:K81),F82*O81/36000*(G82-G81))</f>
        <v>#VALUE!</v>
      </c>
      <c r="L82" s="25" t="e">
        <f ca="1">IF(G82="Всього:",SUM($L$5:L81),$E$4)</f>
        <v>#DIV/0!</v>
      </c>
      <c r="M82" s="25" t="e">
        <f ca="1">IF(G82="Всього:",SUM($M$5:M81),IF($E$5="UAH",J82+L82+K82,J82+K82))</f>
        <v>#VALUE!</v>
      </c>
      <c r="N82" s="27" t="str">
        <f ca="1">IF(G82="Всього:",SUM($N$4:N81),IF($E$5="UAH","",L82))</f>
        <v/>
      </c>
      <c r="O82" s="25" t="e">
        <f t="shared" ca="1" si="8"/>
        <v>#DIV/0!</v>
      </c>
      <c r="P82" s="33">
        <f t="shared" ca="1" si="9"/>
        <v>48556</v>
      </c>
      <c r="Q82" s="8" t="e">
        <f t="shared" ca="1" si="12"/>
        <v>#VALUE!</v>
      </c>
    </row>
    <row r="83" spans="6:17" s="8" customFormat="1" ht="13.2" x14ac:dyDescent="0.25">
      <c r="F83" s="34" t="str">
        <f t="shared" ca="1" si="10"/>
        <v/>
      </c>
      <c r="G83" s="23">
        <f t="shared" ca="1" si="13"/>
        <v>48587</v>
      </c>
      <c r="H83" s="24" t="str">
        <f t="shared" si="11"/>
        <v/>
      </c>
      <c r="I83" s="25" t="e">
        <f ca="1">IF($G83="Всього:",SUM($I$4:I82),MAX($C$32,K83))</f>
        <v>#VALUE!</v>
      </c>
      <c r="J83" s="25" t="e">
        <f ca="1">IF($G83="Всього:",SUM($J$4:J82),IF(I83-SUM(K83:L83)&lt;0,0,I83-SUM(K83:L83)))</f>
        <v>#VALUE!</v>
      </c>
      <c r="K83" s="25" t="e">
        <f ca="1">IF(G83="Всього:",SUM($K$5:K82),F83*O82/36000*(G83-G82))</f>
        <v>#VALUE!</v>
      </c>
      <c r="L83" s="25" t="e">
        <f ca="1">IF(G83="Всього:",SUM($L$5:L82),$E$4)</f>
        <v>#DIV/0!</v>
      </c>
      <c r="M83" s="25" t="e">
        <f ca="1">IF(G83="Всього:",SUM($M$5:M82),IF($E$5="UAH",J83+L83+K83,J83+K83))</f>
        <v>#VALUE!</v>
      </c>
      <c r="N83" s="27" t="str">
        <f ca="1">IF(G83="Всього:",SUM($N$4:N82),IF($E$5="UAH","",L83))</f>
        <v/>
      </c>
      <c r="O83" s="25" t="e">
        <f t="shared" ca="1" si="8"/>
        <v>#DIV/0!</v>
      </c>
      <c r="P83" s="33">
        <f t="shared" ca="1" si="9"/>
        <v>48587</v>
      </c>
      <c r="Q83" s="8" t="e">
        <f t="shared" ca="1" si="12"/>
        <v>#VALUE!</v>
      </c>
    </row>
    <row r="84" spans="6:17" s="8" customFormat="1" ht="13.2" x14ac:dyDescent="0.25">
      <c r="F84" s="34" t="str">
        <f t="shared" ca="1" si="10"/>
        <v/>
      </c>
      <c r="G84" s="23">
        <f t="shared" ca="1" si="13"/>
        <v>48618</v>
      </c>
      <c r="H84" s="24" t="str">
        <f t="shared" si="11"/>
        <v/>
      </c>
      <c r="I84" s="25" t="e">
        <f ca="1">IF($G84="Всього:",SUM($I$4:I83),MAX($C$32,K84))</f>
        <v>#VALUE!</v>
      </c>
      <c r="J84" s="25" t="e">
        <f ca="1">IF($G84="Всього:",SUM($J$4:J83),IF(I84-SUM(K84:L84)&lt;0,0,I84-SUM(K84:L84)))</f>
        <v>#VALUE!</v>
      </c>
      <c r="K84" s="25" t="e">
        <f ca="1">IF(G84="Всього:",SUM($K$5:K83),F84*O83/36000*(G84-G83))</f>
        <v>#VALUE!</v>
      </c>
      <c r="L84" s="25" t="e">
        <f ca="1">IF(G84="Всього:",SUM($L$5:L83),$E$4)</f>
        <v>#DIV/0!</v>
      </c>
      <c r="M84" s="25" t="e">
        <f ca="1">IF(G84="Всього:",SUM($M$5:M83),IF($E$5="UAH",J84+L84+K84,J84+K84))</f>
        <v>#VALUE!</v>
      </c>
      <c r="N84" s="27" t="str">
        <f ca="1">IF(G84="Всього:",SUM($N$4:N83),IF($E$5="UAH","",L84))</f>
        <v/>
      </c>
      <c r="O84" s="25" t="e">
        <f t="shared" ca="1" si="8"/>
        <v>#DIV/0!</v>
      </c>
      <c r="P84" s="33">
        <f t="shared" ca="1" si="9"/>
        <v>48618</v>
      </c>
      <c r="Q84" s="8" t="e">
        <f t="shared" ca="1" si="12"/>
        <v>#VALUE!</v>
      </c>
    </row>
    <row r="85" spans="6:17" s="8" customFormat="1" ht="13.2" x14ac:dyDescent="0.25">
      <c r="F85" s="34" t="str">
        <f t="shared" ca="1" si="10"/>
        <v/>
      </c>
      <c r="G85" s="23">
        <f t="shared" ca="1" si="13"/>
        <v>48646</v>
      </c>
      <c r="H85" s="24" t="str">
        <f t="shared" si="11"/>
        <v/>
      </c>
      <c r="I85" s="25" t="e">
        <f ca="1">IF($G85="Всього:",SUM($I$4:I84),MAX($C$32,K85))</f>
        <v>#VALUE!</v>
      </c>
      <c r="J85" s="25" t="e">
        <f ca="1">IF($G85="Всього:",SUM($J$4:J84),IF(I85-SUM(K85:L85)&lt;0,0,I85-SUM(K85:L85)))</f>
        <v>#VALUE!</v>
      </c>
      <c r="K85" s="25" t="e">
        <f ca="1">IF(G85="Всього:",SUM($K$5:K84),F85*O84/36000*(G85-G84))</f>
        <v>#VALUE!</v>
      </c>
      <c r="L85" s="25" t="e">
        <f ca="1">IF(G85="Всього:",SUM($L$5:L84),$E$4)</f>
        <v>#DIV/0!</v>
      </c>
      <c r="M85" s="25" t="e">
        <f ca="1">IF(G85="Всього:",SUM($M$5:M84),IF($E$5="UAH",J85+L85+K85,J85+K85))</f>
        <v>#VALUE!</v>
      </c>
      <c r="N85" s="27" t="str">
        <f ca="1">IF(G85="Всього:",SUM($N$4:N84),IF($E$5="UAH","",L85))</f>
        <v/>
      </c>
      <c r="O85" s="25" t="e">
        <f t="shared" ca="1" si="8"/>
        <v>#DIV/0!</v>
      </c>
      <c r="P85" s="33">
        <f t="shared" ca="1" si="9"/>
        <v>48646</v>
      </c>
      <c r="Q85" s="8" t="e">
        <f t="shared" ca="1" si="12"/>
        <v>#VALUE!</v>
      </c>
    </row>
    <row r="86" spans="6:17" s="8" customFormat="1" ht="13.2" x14ac:dyDescent="0.25">
      <c r="F86" s="34" t="str">
        <f t="shared" ca="1" si="10"/>
        <v/>
      </c>
      <c r="G86" s="23">
        <f t="shared" ca="1" si="13"/>
        <v>48677</v>
      </c>
      <c r="H86" s="24" t="str">
        <f t="shared" si="11"/>
        <v/>
      </c>
      <c r="I86" s="25" t="e">
        <f ca="1">IF($G86="Всього:",SUM($I$4:I85),MAX($C$32,K86))</f>
        <v>#VALUE!</v>
      </c>
      <c r="J86" s="25" t="e">
        <f ca="1">IF($G86="Всього:",SUM($J$4:J85),IF(I86-SUM(K86:L86)&lt;0,0,I86-SUM(K86:L86)))</f>
        <v>#VALUE!</v>
      </c>
      <c r="K86" s="25" t="e">
        <f ca="1">IF(G86="Всього:",SUM($K$5:K85),F86*O85/36000*(G86-G85))</f>
        <v>#VALUE!</v>
      </c>
      <c r="L86" s="25" t="e">
        <f ca="1">IF(G86="Всього:",SUM($L$5:L85),$E$4)</f>
        <v>#DIV/0!</v>
      </c>
      <c r="M86" s="25" t="e">
        <f ca="1">IF(G86="Всього:",SUM($M$5:M85),IF($E$5="UAH",J86+L86+K86,J86+K86))</f>
        <v>#VALUE!</v>
      </c>
      <c r="N86" s="27" t="str">
        <f ca="1">IF(G86="Всього:",SUM($N$4:N85),IF($E$5="UAH","",L86))</f>
        <v/>
      </c>
      <c r="O86" s="25" t="e">
        <f t="shared" ca="1" si="8"/>
        <v>#DIV/0!</v>
      </c>
      <c r="P86" s="33">
        <f t="shared" ca="1" si="9"/>
        <v>48677</v>
      </c>
      <c r="Q86" s="8" t="e">
        <f t="shared" ca="1" si="12"/>
        <v>#VALUE!</v>
      </c>
    </row>
    <row r="87" spans="6:17" s="8" customFormat="1" ht="13.2" x14ac:dyDescent="0.25">
      <c r="F87" s="34" t="str">
        <f t="shared" ca="1" si="10"/>
        <v/>
      </c>
      <c r="G87" s="23">
        <f t="shared" ca="1" si="13"/>
        <v>48707</v>
      </c>
      <c r="H87" s="24" t="str">
        <f t="shared" si="11"/>
        <v/>
      </c>
      <c r="I87" s="25" t="e">
        <f ca="1">IF($G87="Всього:",SUM($I$4:I86),MAX($C$32,K87))</f>
        <v>#VALUE!</v>
      </c>
      <c r="J87" s="25" t="e">
        <f ca="1">IF($G87="Всього:",SUM($J$4:J86),IF(I87-SUM(K87:L87)&lt;0,0,I87-SUM(K87:L87)))</f>
        <v>#VALUE!</v>
      </c>
      <c r="K87" s="25" t="e">
        <f ca="1">IF(G87="Всього:",SUM($K$5:K86),F87*O86/36000*(G87-G86))</f>
        <v>#VALUE!</v>
      </c>
      <c r="L87" s="25" t="e">
        <f ca="1">IF(G87="Всього:",SUM($L$5:L86),$E$4)</f>
        <v>#DIV/0!</v>
      </c>
      <c r="M87" s="25" t="e">
        <f ca="1">IF(G87="Всього:",SUM($M$5:M86),IF($E$5="UAH",J87+L87+K87,J87+K87))</f>
        <v>#VALUE!</v>
      </c>
      <c r="N87" s="27" t="str">
        <f ca="1">IF(G87="Всього:",SUM($N$4:N86),IF($E$5="UAH","",L87))</f>
        <v/>
      </c>
      <c r="O87" s="25" t="e">
        <f t="shared" ca="1" si="8"/>
        <v>#DIV/0!</v>
      </c>
      <c r="P87" s="33">
        <f t="shared" ca="1" si="9"/>
        <v>48707</v>
      </c>
      <c r="Q87" s="8" t="e">
        <f t="shared" ca="1" si="12"/>
        <v>#VALUE!</v>
      </c>
    </row>
    <row r="88" spans="6:17" s="8" customFormat="1" ht="13.2" x14ac:dyDescent="0.25">
      <c r="F88" s="34" t="str">
        <f t="shared" ca="1" si="10"/>
        <v/>
      </c>
      <c r="G88" s="23">
        <f t="shared" ca="1" si="13"/>
        <v>48738</v>
      </c>
      <c r="H88" s="24" t="str">
        <f t="shared" si="11"/>
        <v/>
      </c>
      <c r="I88" s="25" t="e">
        <f ca="1">IF($G88="Всього:",SUM($I$4:I87),MAX($C$32,K88))</f>
        <v>#VALUE!</v>
      </c>
      <c r="J88" s="25" t="e">
        <f ca="1">IF($G88="Всього:",SUM($J$4:J87),IF(I88-SUM(K88:L88)&lt;0,0,I88-SUM(K88:L88)))</f>
        <v>#VALUE!</v>
      </c>
      <c r="K88" s="25" t="e">
        <f ca="1">IF(G88="Всього:",SUM($K$5:K87),F88*O87/36000*(G88-G87))</f>
        <v>#VALUE!</v>
      </c>
      <c r="L88" s="25" t="e">
        <f ca="1">IF(G88="Всього:",SUM($L$5:L87),$E$4)</f>
        <v>#DIV/0!</v>
      </c>
      <c r="M88" s="25" t="e">
        <f ca="1">IF(G88="Всього:",SUM($M$5:M87),IF($E$5="UAH",J88+L88+K88,J88+K88))</f>
        <v>#VALUE!</v>
      </c>
      <c r="N88" s="27" t="str">
        <f ca="1">IF(G88="Всього:",SUM($N$4:N87),IF($E$5="UAH","",L88))</f>
        <v/>
      </c>
      <c r="O88" s="25" t="e">
        <f t="shared" ca="1" si="8"/>
        <v>#DIV/0!</v>
      </c>
      <c r="P88" s="33">
        <f t="shared" ca="1" si="9"/>
        <v>48738</v>
      </c>
      <c r="Q88" s="8" t="e">
        <f t="shared" ca="1" si="12"/>
        <v>#VALUE!</v>
      </c>
    </row>
    <row r="89" spans="6:17" s="8" customFormat="1" ht="13.2" x14ac:dyDescent="0.25">
      <c r="F89" s="34" t="str">
        <f t="shared" ca="1" si="10"/>
        <v/>
      </c>
      <c r="G89" s="23">
        <f t="shared" ca="1" si="13"/>
        <v>48768</v>
      </c>
      <c r="H89" s="24" t="str">
        <f t="shared" si="11"/>
        <v/>
      </c>
      <c r="I89" s="25" t="e">
        <f ca="1">IF($G89="Всього:",SUM($I$4:I88),MAX($C$32,K89))</f>
        <v>#VALUE!</v>
      </c>
      <c r="J89" s="25" t="e">
        <f ca="1">IF($G89="Всього:",SUM($J$4:J88),IF(I89-SUM(K89:L89)&lt;0,0,I89-SUM(K89:L89)))</f>
        <v>#VALUE!</v>
      </c>
      <c r="K89" s="25" t="e">
        <f ca="1">IF(G89="Всього:",SUM($K$5:K88),F89*O88/36000*(G89-G88))</f>
        <v>#VALUE!</v>
      </c>
      <c r="L89" s="25" t="e">
        <f ca="1">IF(G89="Всього:",SUM($L$5:L88),$E$4)</f>
        <v>#DIV/0!</v>
      </c>
      <c r="M89" s="25" t="e">
        <f ca="1">IF(G89="Всього:",SUM($M$5:M88),IF($E$5="UAH",J89+L89+K89,J89+K89))</f>
        <v>#VALUE!</v>
      </c>
      <c r="N89" s="27" t="str">
        <f ca="1">IF(G89="Всього:",SUM($N$4:N88),IF($E$5="UAH","",L89))</f>
        <v/>
      </c>
      <c r="O89" s="25" t="e">
        <f t="shared" ca="1" si="8"/>
        <v>#DIV/0!</v>
      </c>
      <c r="P89" s="33">
        <f t="shared" ca="1" si="9"/>
        <v>48768</v>
      </c>
      <c r="Q89" s="8" t="e">
        <f t="shared" ca="1" si="12"/>
        <v>#VALUE!</v>
      </c>
    </row>
    <row r="90" spans="6:17" s="8" customFormat="1" ht="13.2" x14ac:dyDescent="0.25">
      <c r="F90" s="34" t="str">
        <f t="shared" ca="1" si="10"/>
        <v/>
      </c>
      <c r="G90" s="23">
        <f t="shared" ca="1" si="13"/>
        <v>48799</v>
      </c>
      <c r="H90" s="24" t="str">
        <f t="shared" si="11"/>
        <v/>
      </c>
      <c r="I90" s="25" t="e">
        <f ca="1">IF($G90="Всього:",SUM($I$4:I89),MAX($C$32,K90))</f>
        <v>#VALUE!</v>
      </c>
      <c r="J90" s="25" t="e">
        <f ca="1">IF($G90="Всього:",SUM($J$4:J89),IF(I90-SUM(K90:L90)&lt;0,0,I90-SUM(K90:L90)))</f>
        <v>#VALUE!</v>
      </c>
      <c r="K90" s="25" t="e">
        <f ca="1">IF(G90="Всього:",SUM($K$5:K89),F90*O89/36000*(G90-G89))</f>
        <v>#VALUE!</v>
      </c>
      <c r="L90" s="25" t="e">
        <f ca="1">IF(G90="Всього:",SUM($L$5:L89),$E$4)</f>
        <v>#DIV/0!</v>
      </c>
      <c r="M90" s="25" t="e">
        <f ca="1">IF(G90="Всього:",SUM($M$5:M89),IF($E$5="UAH",J90+L90+K90,J90+K90))</f>
        <v>#VALUE!</v>
      </c>
      <c r="N90" s="27" t="str">
        <f ca="1">IF(G90="Всього:",SUM($N$4:N89),IF($E$5="UAH","",L90))</f>
        <v/>
      </c>
      <c r="O90" s="25" t="e">
        <f t="shared" ca="1" si="8"/>
        <v>#DIV/0!</v>
      </c>
      <c r="P90" s="33">
        <f t="shared" ca="1" si="9"/>
        <v>48799</v>
      </c>
      <c r="Q90" s="8" t="e">
        <f t="shared" ca="1" si="12"/>
        <v>#VALUE!</v>
      </c>
    </row>
    <row r="91" spans="6:17" s="8" customFormat="1" ht="13.2" x14ac:dyDescent="0.25">
      <c r="F91" s="34" t="str">
        <f t="shared" ca="1" si="10"/>
        <v/>
      </c>
      <c r="G91" s="23">
        <f t="shared" ca="1" si="13"/>
        <v>48830</v>
      </c>
      <c r="H91" s="24" t="str">
        <f t="shared" si="11"/>
        <v/>
      </c>
      <c r="I91" s="25" t="e">
        <f ca="1">IF($G91="Всього:",SUM($I$4:I90),MAX($C$32,K91))</f>
        <v>#VALUE!</v>
      </c>
      <c r="J91" s="25" t="e">
        <f ca="1">IF($G91="Всього:",SUM($J$4:J90),IF(I91-SUM(K91:L91)&lt;0,0,I91-SUM(K91:L91)))</f>
        <v>#VALUE!</v>
      </c>
      <c r="K91" s="25" t="e">
        <f ca="1">IF(G91="Всього:",SUM($K$5:K90),F91*O90/36000*(G91-G90))</f>
        <v>#VALUE!</v>
      </c>
      <c r="L91" s="25" t="e">
        <f ca="1">IF(G91="Всього:",SUM($L$5:L90),$E$4)</f>
        <v>#DIV/0!</v>
      </c>
      <c r="M91" s="25" t="e">
        <f ca="1">IF(G91="Всього:",SUM($M$5:M90),IF($E$5="UAH",J91+L91+K91,J91+K91))</f>
        <v>#VALUE!</v>
      </c>
      <c r="N91" s="27" t="str">
        <f ca="1">IF(G91="Всього:",SUM($N$4:N90),IF($E$5="UAH","",L91))</f>
        <v/>
      </c>
      <c r="O91" s="25" t="e">
        <f t="shared" ca="1" si="8"/>
        <v>#DIV/0!</v>
      </c>
      <c r="P91" s="33">
        <f t="shared" ca="1" si="9"/>
        <v>48830</v>
      </c>
      <c r="Q91" s="8" t="e">
        <f t="shared" ca="1" si="12"/>
        <v>#VALUE!</v>
      </c>
    </row>
    <row r="92" spans="6:17" s="8" customFormat="1" ht="13.2" x14ac:dyDescent="0.25">
      <c r="F92" s="34" t="str">
        <f t="shared" ca="1" si="10"/>
        <v/>
      </c>
      <c r="G92" s="23">
        <f t="shared" ca="1" si="13"/>
        <v>48860</v>
      </c>
      <c r="H92" s="24" t="str">
        <f t="shared" si="11"/>
        <v/>
      </c>
      <c r="I92" s="25" t="e">
        <f ca="1">IF($G92="Всього:",SUM($I$4:I91),MAX($C$32,K92))</f>
        <v>#VALUE!</v>
      </c>
      <c r="J92" s="25" t="e">
        <f ca="1">IF($G92="Всього:",SUM($J$4:J91),IF(I92-SUM(K92:L92)&lt;0,0,I92-SUM(K92:L92)))</f>
        <v>#VALUE!</v>
      </c>
      <c r="K92" s="25" t="e">
        <f ca="1">IF(G92="Всього:",SUM($K$5:K91),F92*O91/36000*(G92-G91))</f>
        <v>#VALUE!</v>
      </c>
      <c r="L92" s="25" t="e">
        <f ca="1">IF(G92="Всього:",SUM($L$5:L91),$E$4)</f>
        <v>#DIV/0!</v>
      </c>
      <c r="M92" s="25" t="e">
        <f ca="1">IF(G92="Всього:",SUM($M$5:M91),IF($E$5="UAH",J92+L92+K92,J92+K92))</f>
        <v>#VALUE!</v>
      </c>
      <c r="N92" s="27" t="str">
        <f ca="1">IF(G92="Всього:",SUM($N$4:N91),IF($E$5="UAH","",L92))</f>
        <v/>
      </c>
      <c r="O92" s="25" t="e">
        <f t="shared" ca="1" si="8"/>
        <v>#DIV/0!</v>
      </c>
      <c r="P92" s="33">
        <f t="shared" ca="1" si="9"/>
        <v>48860</v>
      </c>
      <c r="Q92" s="8" t="e">
        <f t="shared" ca="1" si="12"/>
        <v>#VALUE!</v>
      </c>
    </row>
    <row r="93" spans="6:17" s="8" customFormat="1" ht="13.2" x14ac:dyDescent="0.25">
      <c r="F93" s="34" t="str">
        <f t="shared" ca="1" si="10"/>
        <v/>
      </c>
      <c r="G93" s="23">
        <f t="shared" ca="1" si="13"/>
        <v>48891</v>
      </c>
      <c r="H93" s="24" t="str">
        <f t="shared" si="11"/>
        <v/>
      </c>
      <c r="I93" s="25" t="e">
        <f ca="1">IF($G93="Всього:",SUM($I$4:I92),MAX($C$32,K93))</f>
        <v>#VALUE!</v>
      </c>
      <c r="J93" s="25" t="e">
        <f ca="1">IF($G93="Всього:",SUM($J$4:J92),IF(I93-SUM(K93:L93)&lt;0,0,I93-SUM(K93:L93)))</f>
        <v>#VALUE!</v>
      </c>
      <c r="K93" s="25" t="e">
        <f ca="1">IF(G93="Всього:",SUM($K$5:K92),F93*O92/36000*(G93-G92))</f>
        <v>#VALUE!</v>
      </c>
      <c r="L93" s="25" t="e">
        <f ca="1">IF(G93="Всього:",SUM($L$5:L92),$E$4)</f>
        <v>#DIV/0!</v>
      </c>
      <c r="M93" s="25" t="e">
        <f ca="1">IF(G93="Всього:",SUM($M$5:M92),IF($E$5="UAH",J93+L93+K93,J93+K93))</f>
        <v>#VALUE!</v>
      </c>
      <c r="N93" s="27" t="str">
        <f ca="1">IF(G93="Всього:",SUM($N$4:N92),IF($E$5="UAH","",L93))</f>
        <v/>
      </c>
      <c r="O93" s="25" t="e">
        <f t="shared" ca="1" si="8"/>
        <v>#DIV/0!</v>
      </c>
      <c r="P93" s="33">
        <f t="shared" ca="1" si="9"/>
        <v>48891</v>
      </c>
      <c r="Q93" s="8" t="e">
        <f t="shared" ca="1" si="12"/>
        <v>#VALUE!</v>
      </c>
    </row>
    <row r="94" spans="6:17" s="8" customFormat="1" ht="13.2" x14ac:dyDescent="0.25">
      <c r="F94" s="34" t="str">
        <f t="shared" ca="1" si="10"/>
        <v/>
      </c>
      <c r="G94" s="23">
        <f t="shared" ca="1" si="13"/>
        <v>48921</v>
      </c>
      <c r="H94" s="24" t="str">
        <f t="shared" si="11"/>
        <v/>
      </c>
      <c r="I94" s="25" t="e">
        <f ca="1">IF($G94="Всього:",SUM($I$4:I93),MAX($C$32,K94))</f>
        <v>#VALUE!</v>
      </c>
      <c r="J94" s="25" t="e">
        <f ca="1">IF($G94="Всього:",SUM($J$4:J93),IF(I94-SUM(K94:L94)&lt;0,0,I94-SUM(K94:L94)))</f>
        <v>#VALUE!</v>
      </c>
      <c r="K94" s="25" t="e">
        <f ca="1">IF(G94="Всього:",SUM($K$5:K93),F94*O93/36000*(G94-G93))</f>
        <v>#VALUE!</v>
      </c>
      <c r="L94" s="25" t="e">
        <f ca="1">IF(G94="Всього:",SUM($L$5:L93),$E$4)</f>
        <v>#DIV/0!</v>
      </c>
      <c r="M94" s="25" t="e">
        <f ca="1">IF(G94="Всього:",SUM($M$5:M93),IF($E$5="UAH",J94+L94+K94,J94+K94))</f>
        <v>#VALUE!</v>
      </c>
      <c r="N94" s="27" t="str">
        <f ca="1">IF(G94="Всього:",SUM($N$4:N93),IF($E$5="UAH","",L94))</f>
        <v/>
      </c>
      <c r="O94" s="25" t="e">
        <f t="shared" ca="1" si="8"/>
        <v>#DIV/0!</v>
      </c>
      <c r="P94" s="33">
        <f t="shared" ca="1" si="9"/>
        <v>48921</v>
      </c>
      <c r="Q94" s="8" t="e">
        <f t="shared" ca="1" si="12"/>
        <v>#VALUE!</v>
      </c>
    </row>
    <row r="95" spans="6:17" s="8" customFormat="1" ht="13.2" x14ac:dyDescent="0.25">
      <c r="F95" s="34" t="str">
        <f t="shared" ca="1" si="10"/>
        <v/>
      </c>
      <c r="G95" s="23">
        <f t="shared" ca="1" si="13"/>
        <v>48952</v>
      </c>
      <c r="H95" s="24" t="str">
        <f t="shared" si="11"/>
        <v/>
      </c>
      <c r="I95" s="25" t="e">
        <f ca="1">IF($G95="Всього:",SUM($I$4:I94),MAX($C$32,K95))</f>
        <v>#VALUE!</v>
      </c>
      <c r="J95" s="25" t="e">
        <f ca="1">IF($G95="Всього:",SUM($J$4:J94),IF(I95-SUM(K95:L95)&lt;0,0,I95-SUM(K95:L95)))</f>
        <v>#VALUE!</v>
      </c>
      <c r="K95" s="25" t="e">
        <f ca="1">IF(G95="Всього:",SUM($K$5:K94),F95*O94/36000*(G95-G94))</f>
        <v>#VALUE!</v>
      </c>
      <c r="L95" s="25" t="e">
        <f ca="1">IF(G95="Всього:",SUM($L$5:L94),$E$4)</f>
        <v>#DIV/0!</v>
      </c>
      <c r="M95" s="25" t="e">
        <f ca="1">IF(G95="Всього:",SUM($M$5:M94),IF($E$5="UAH",J95+L95+K95,J95+K95))</f>
        <v>#VALUE!</v>
      </c>
      <c r="N95" s="27" t="str">
        <f ca="1">IF(G95="Всього:",SUM($N$4:N94),IF($E$5="UAH","",L95))</f>
        <v/>
      </c>
      <c r="O95" s="25" t="e">
        <f t="shared" ca="1" si="8"/>
        <v>#DIV/0!</v>
      </c>
      <c r="P95" s="33">
        <f t="shared" ca="1" si="9"/>
        <v>48952</v>
      </c>
      <c r="Q95" s="8" t="e">
        <f t="shared" ca="1" si="12"/>
        <v>#VALUE!</v>
      </c>
    </row>
    <row r="96" spans="6:17" s="8" customFormat="1" ht="13.2" x14ac:dyDescent="0.25">
      <c r="F96" s="34" t="str">
        <f t="shared" ca="1" si="10"/>
        <v/>
      </c>
      <c r="G96" s="23">
        <f t="shared" ca="1" si="13"/>
        <v>48983</v>
      </c>
      <c r="H96" s="24" t="str">
        <f t="shared" si="11"/>
        <v/>
      </c>
      <c r="I96" s="25" t="e">
        <f ca="1">IF($G96="Всього:",SUM($I$4:I95),MAX($C$32,K96))</f>
        <v>#VALUE!</v>
      </c>
      <c r="J96" s="25" t="e">
        <f ca="1">IF($G96="Всього:",SUM($J$4:J95),IF(I96-SUM(K96:L96)&lt;0,0,I96-SUM(K96:L96)))</f>
        <v>#VALUE!</v>
      </c>
      <c r="K96" s="25" t="e">
        <f ca="1">IF(G96="Всього:",SUM($K$5:K95),F96*O95/36000*(G96-G95))</f>
        <v>#VALUE!</v>
      </c>
      <c r="L96" s="25" t="e">
        <f ca="1">IF(G96="Всього:",SUM($L$5:L95),$E$4)</f>
        <v>#DIV/0!</v>
      </c>
      <c r="M96" s="25" t="e">
        <f ca="1">IF(G96="Всього:",SUM($M$5:M95),IF($E$5="UAH",J96+L96+K96,J96+K96))</f>
        <v>#VALUE!</v>
      </c>
      <c r="N96" s="27" t="str">
        <f ca="1">IF(G96="Всього:",SUM($N$4:N95),IF($E$5="UAH","",L96))</f>
        <v/>
      </c>
      <c r="O96" s="25" t="e">
        <f t="shared" ca="1" si="8"/>
        <v>#DIV/0!</v>
      </c>
      <c r="P96" s="33">
        <f t="shared" ca="1" si="9"/>
        <v>48983</v>
      </c>
      <c r="Q96" s="8" t="e">
        <f t="shared" ca="1" si="12"/>
        <v>#VALUE!</v>
      </c>
    </row>
    <row r="97" spans="6:17" s="8" customFormat="1" ht="13.2" x14ac:dyDescent="0.25">
      <c r="F97" s="34" t="str">
        <f t="shared" ca="1" si="10"/>
        <v/>
      </c>
      <c r="G97" s="23">
        <f t="shared" ca="1" si="13"/>
        <v>49011</v>
      </c>
      <c r="H97" s="24" t="str">
        <f t="shared" si="11"/>
        <v/>
      </c>
      <c r="I97" s="25" t="e">
        <f ca="1">IF($G97="Всього:",SUM($I$4:I96),MAX($C$32,K97))</f>
        <v>#VALUE!</v>
      </c>
      <c r="J97" s="25" t="e">
        <f ca="1">IF($G97="Всього:",SUM($J$4:J96),IF(I97-SUM(K97:L97)&lt;0,0,I97-SUM(K97:L97)))</f>
        <v>#VALUE!</v>
      </c>
      <c r="K97" s="25" t="e">
        <f ca="1">IF(G97="Всього:",SUM($K$5:K96),F97*O96/36000*(G97-G96))</f>
        <v>#VALUE!</v>
      </c>
      <c r="L97" s="25" t="e">
        <f ca="1">IF(G97="Всього:",SUM($L$5:L96),$E$4)</f>
        <v>#DIV/0!</v>
      </c>
      <c r="M97" s="25" t="e">
        <f ca="1">IF(G97="Всього:",SUM($M$5:M96),IF($E$5="UAH",J97+L97+K97,J97+K97))</f>
        <v>#VALUE!</v>
      </c>
      <c r="N97" s="27" t="str">
        <f ca="1">IF(G97="Всього:",SUM($N$4:N96),IF($E$5="UAH","",L97))</f>
        <v/>
      </c>
      <c r="O97" s="25" t="e">
        <f t="shared" ca="1" si="8"/>
        <v>#DIV/0!</v>
      </c>
      <c r="P97" s="33">
        <f t="shared" ca="1" si="9"/>
        <v>49011</v>
      </c>
      <c r="Q97" s="8" t="e">
        <f t="shared" ca="1" si="12"/>
        <v>#VALUE!</v>
      </c>
    </row>
    <row r="98" spans="6:17" s="8" customFormat="1" ht="13.2" x14ac:dyDescent="0.25">
      <c r="F98" s="34" t="str">
        <f t="shared" ca="1" si="10"/>
        <v/>
      </c>
      <c r="G98" s="23">
        <f t="shared" ca="1" si="13"/>
        <v>49042</v>
      </c>
      <c r="H98" s="24" t="str">
        <f t="shared" si="11"/>
        <v/>
      </c>
      <c r="I98" s="25" t="e">
        <f ca="1">IF($G98="Всього:",SUM($I$4:I97),MAX($C$32,K98))</f>
        <v>#VALUE!</v>
      </c>
      <c r="J98" s="25" t="e">
        <f ca="1">IF($G98="Всього:",SUM($J$4:J97),IF(I98-SUM(K98:L98)&lt;0,0,I98-SUM(K98:L98)))</f>
        <v>#VALUE!</v>
      </c>
      <c r="K98" s="25" t="e">
        <f ca="1">IF(G98="Всього:",SUM($K$5:K97),F98*O97/36000*(G98-G97))</f>
        <v>#VALUE!</v>
      </c>
      <c r="L98" s="25" t="e">
        <f ca="1">IF(G98="Всього:",SUM($L$5:L97),$E$4)</f>
        <v>#DIV/0!</v>
      </c>
      <c r="M98" s="25" t="e">
        <f ca="1">IF(G98="Всього:",SUM($M$5:M97),IF($E$5="UAH",J98+L98+K98,J98+K98))</f>
        <v>#VALUE!</v>
      </c>
      <c r="N98" s="27" t="str">
        <f ca="1">IF(G98="Всього:",SUM($N$4:N97),IF($E$5="UAH","",L98))</f>
        <v/>
      </c>
      <c r="O98" s="25" t="e">
        <f t="shared" ca="1" si="8"/>
        <v>#DIV/0!</v>
      </c>
      <c r="P98" s="33">
        <f t="shared" ca="1" si="9"/>
        <v>49042</v>
      </c>
      <c r="Q98" s="8" t="e">
        <f t="shared" ca="1" si="12"/>
        <v>#VALUE!</v>
      </c>
    </row>
    <row r="99" spans="6:17" s="8" customFormat="1" ht="13.2" x14ac:dyDescent="0.25">
      <c r="F99" s="34" t="str">
        <f t="shared" ca="1" si="10"/>
        <v/>
      </c>
      <c r="G99" s="23">
        <f t="shared" ca="1" si="13"/>
        <v>49072</v>
      </c>
      <c r="H99" s="24" t="str">
        <f t="shared" si="11"/>
        <v/>
      </c>
      <c r="I99" s="25" t="e">
        <f ca="1">IF($G99="Всього:",SUM($I$4:I98),MAX($C$32,K99))</f>
        <v>#VALUE!</v>
      </c>
      <c r="J99" s="25" t="e">
        <f ca="1">IF($G99="Всього:",SUM($J$4:J98),IF(I99-SUM(K99:L99)&lt;0,0,I99-SUM(K99:L99)))</f>
        <v>#VALUE!</v>
      </c>
      <c r="K99" s="25" t="e">
        <f ca="1">IF(G99="Всього:",SUM($K$5:K98),F99*O98/36000*(G99-G98))</f>
        <v>#VALUE!</v>
      </c>
      <c r="L99" s="25" t="e">
        <f ca="1">IF(G99="Всього:",SUM($L$5:L98),$E$4)</f>
        <v>#DIV/0!</v>
      </c>
      <c r="M99" s="25" t="e">
        <f ca="1">IF(G99="Всього:",SUM($M$5:M98),IF($E$5="UAH",J99+L99+K99,J99+K99))</f>
        <v>#VALUE!</v>
      </c>
      <c r="N99" s="27" t="str">
        <f ca="1">IF(G99="Всього:",SUM($N$4:N98),IF($E$5="UAH","",L99))</f>
        <v/>
      </c>
      <c r="O99" s="25" t="e">
        <f t="shared" ca="1" si="8"/>
        <v>#DIV/0!</v>
      </c>
      <c r="P99" s="33">
        <f t="shared" ca="1" si="9"/>
        <v>49072</v>
      </c>
      <c r="Q99" s="8" t="e">
        <f t="shared" ca="1" si="12"/>
        <v>#VALUE!</v>
      </c>
    </row>
    <row r="100" spans="6:17" s="8" customFormat="1" ht="13.2" x14ac:dyDescent="0.25">
      <c r="F100" s="34" t="str">
        <f t="shared" ca="1" si="10"/>
        <v/>
      </c>
      <c r="G100" s="23">
        <f t="shared" ca="1" si="13"/>
        <v>49103</v>
      </c>
      <c r="H100" s="24" t="str">
        <f t="shared" si="11"/>
        <v/>
      </c>
      <c r="I100" s="25" t="e">
        <f ca="1">IF($G100="Всього:",SUM($I$4:I99),MAX($C$32,K100))</f>
        <v>#VALUE!</v>
      </c>
      <c r="J100" s="25" t="e">
        <f ca="1">IF($G100="Всього:",SUM($J$4:J99),IF(I100-SUM(K100:L100)&lt;0,0,I100-SUM(K100:L100)))</f>
        <v>#VALUE!</v>
      </c>
      <c r="K100" s="25" t="e">
        <f ca="1">IF(G100="Всього:",SUM($K$5:K99),F100*O99/36000*(G100-G99))</f>
        <v>#VALUE!</v>
      </c>
      <c r="L100" s="25" t="e">
        <f ca="1">IF(G100="Всього:",SUM($L$5:L99),$E$4)</f>
        <v>#DIV/0!</v>
      </c>
      <c r="M100" s="25" t="e">
        <f ca="1">IF(G100="Всього:",SUM($M$5:M99),IF($E$5="UAH",J100+L100+K100,J100+K100))</f>
        <v>#VALUE!</v>
      </c>
      <c r="N100" s="27" t="str">
        <f ca="1">IF(G100="Всього:",SUM($N$4:N99),IF($E$5="UAH","",L100))</f>
        <v/>
      </c>
      <c r="O100" s="25" t="e">
        <f t="shared" ca="1" si="8"/>
        <v>#DIV/0!</v>
      </c>
      <c r="P100" s="33">
        <f t="shared" ca="1" si="9"/>
        <v>49103</v>
      </c>
      <c r="Q100" s="8" t="e">
        <f t="shared" ca="1" si="12"/>
        <v>#VALUE!</v>
      </c>
    </row>
    <row r="101" spans="6:17" s="8" customFormat="1" ht="13.2" x14ac:dyDescent="0.25">
      <c r="F101" s="34" t="str">
        <f t="shared" ca="1" si="10"/>
        <v/>
      </c>
      <c r="G101" s="23">
        <f t="shared" ca="1" si="13"/>
        <v>49133</v>
      </c>
      <c r="H101" s="24" t="str">
        <f t="shared" si="11"/>
        <v/>
      </c>
      <c r="I101" s="25" t="e">
        <f ca="1">IF($G101="Всього:",SUM($I$4:I100),MAX($C$32,K101))</f>
        <v>#VALUE!</v>
      </c>
      <c r="J101" s="25" t="e">
        <f ca="1">IF($G101="Всього:",SUM($J$4:J100),IF(I101-SUM(K101:L101)&lt;0,0,I101-SUM(K101:L101)))</f>
        <v>#VALUE!</v>
      </c>
      <c r="K101" s="25" t="e">
        <f ca="1">IF(G101="Всього:",SUM($K$5:K100),F101*O100/36000*(G101-G100))</f>
        <v>#VALUE!</v>
      </c>
      <c r="L101" s="25" t="e">
        <f ca="1">IF(G101="Всього:",SUM($L$5:L100),$E$4)</f>
        <v>#DIV/0!</v>
      </c>
      <c r="M101" s="25" t="e">
        <f ca="1">IF(G101="Всього:",SUM($M$5:M100),IF($E$5="UAH",J101+L101+K101,J101+K101))</f>
        <v>#VALUE!</v>
      </c>
      <c r="N101" s="27" t="str">
        <f ca="1">IF(G101="Всього:",SUM($N$4:N100),IF($E$5="UAH","",L101))</f>
        <v/>
      </c>
      <c r="O101" s="25" t="e">
        <f t="shared" ca="1" si="8"/>
        <v>#DIV/0!</v>
      </c>
      <c r="P101" s="33">
        <f t="shared" ca="1" si="9"/>
        <v>49133</v>
      </c>
      <c r="Q101" s="8" t="e">
        <f t="shared" ca="1" si="12"/>
        <v>#VALUE!</v>
      </c>
    </row>
    <row r="102" spans="6:17" s="8" customFormat="1" ht="13.2" x14ac:dyDescent="0.25">
      <c r="F102" s="34" t="str">
        <f t="shared" ca="1" si="10"/>
        <v/>
      </c>
      <c r="G102" s="23">
        <f t="shared" ca="1" si="13"/>
        <v>49164</v>
      </c>
      <c r="H102" s="24" t="str">
        <f t="shared" si="11"/>
        <v/>
      </c>
      <c r="I102" s="25" t="e">
        <f ca="1">IF($G102="Всього:",SUM($I$4:I101),MAX($C$32,K102))</f>
        <v>#VALUE!</v>
      </c>
      <c r="J102" s="25" t="e">
        <f ca="1">IF($G102="Всього:",SUM($J$4:J101),IF(I102-SUM(K102:L102)&lt;0,0,I102-SUM(K102:L102)))</f>
        <v>#VALUE!</v>
      </c>
      <c r="K102" s="25" t="e">
        <f ca="1">IF(G102="Всього:",SUM($K$5:K101),F102*O101/36000*(G102-G101))</f>
        <v>#VALUE!</v>
      </c>
      <c r="L102" s="25" t="e">
        <f ca="1">IF(G102="Всього:",SUM($L$5:L101),$E$4)</f>
        <v>#DIV/0!</v>
      </c>
      <c r="M102" s="25" t="e">
        <f ca="1">IF(G102="Всього:",SUM($M$5:M101),IF($E$5="UAH",J102+L102+K102,J102+K102))</f>
        <v>#VALUE!</v>
      </c>
      <c r="N102" s="27" t="str">
        <f ca="1">IF(G102="Всього:",SUM($N$4:N101),IF($E$5="UAH","",L102))</f>
        <v/>
      </c>
      <c r="O102" s="25" t="e">
        <f t="shared" ca="1" si="8"/>
        <v>#DIV/0!</v>
      </c>
      <c r="P102" s="33">
        <f t="shared" ca="1" si="9"/>
        <v>49164</v>
      </c>
      <c r="Q102" s="8" t="e">
        <f t="shared" ca="1" si="12"/>
        <v>#VALUE!</v>
      </c>
    </row>
    <row r="103" spans="6:17" s="8" customFormat="1" ht="13.2" x14ac:dyDescent="0.25">
      <c r="F103" s="34" t="str">
        <f t="shared" ca="1" si="10"/>
        <v/>
      </c>
      <c r="G103" s="23">
        <f t="shared" ca="1" si="13"/>
        <v>49195</v>
      </c>
      <c r="H103" s="24" t="str">
        <f t="shared" si="11"/>
        <v/>
      </c>
      <c r="I103" s="25" t="e">
        <f ca="1">IF($G103="Всього:",SUM($I$4:I102),MAX($C$32,K103))</f>
        <v>#VALUE!</v>
      </c>
      <c r="J103" s="25" t="e">
        <f ca="1">IF($G103="Всього:",SUM($J$4:J102),IF(I103-SUM(K103:L103)&lt;0,0,I103-SUM(K103:L103)))</f>
        <v>#VALUE!</v>
      </c>
      <c r="K103" s="25" t="e">
        <f ca="1">IF(G103="Всього:",SUM($K$5:K102),F103*O102/36000*(G103-G102))</f>
        <v>#VALUE!</v>
      </c>
      <c r="L103" s="25" t="e">
        <f ca="1">IF(G103="Всього:",SUM($L$5:L102),$E$4)</f>
        <v>#DIV/0!</v>
      </c>
      <c r="M103" s="25" t="e">
        <f ca="1">IF(G103="Всього:",SUM($M$5:M102),IF($E$5="UAH",J103+L103+K103,J103+K103))</f>
        <v>#VALUE!</v>
      </c>
      <c r="N103" s="27" t="str">
        <f ca="1">IF(G103="Всього:",SUM($N$4:N102),IF($E$5="UAH","",L103))</f>
        <v/>
      </c>
      <c r="O103" s="25" t="e">
        <f t="shared" ca="1" si="8"/>
        <v>#DIV/0!</v>
      </c>
      <c r="P103" s="33">
        <f t="shared" ca="1" si="9"/>
        <v>49195</v>
      </c>
      <c r="Q103" s="8" t="e">
        <f t="shared" ca="1" si="12"/>
        <v>#VALUE!</v>
      </c>
    </row>
    <row r="104" spans="6:17" s="8" customFormat="1" ht="13.2" x14ac:dyDescent="0.25">
      <c r="F104" s="34" t="str">
        <f t="shared" ca="1" si="10"/>
        <v/>
      </c>
      <c r="G104" s="23">
        <f t="shared" ca="1" si="13"/>
        <v>49225</v>
      </c>
      <c r="H104" s="24" t="str">
        <f t="shared" si="11"/>
        <v/>
      </c>
      <c r="I104" s="25" t="e">
        <f ca="1">IF($G104="Всього:",SUM($I$4:I103),MAX($C$32,K104))</f>
        <v>#VALUE!</v>
      </c>
      <c r="J104" s="25" t="e">
        <f ca="1">IF($G104="Всього:",SUM($J$4:J103),IF(I104-SUM(K104:L104)&lt;0,0,I104-SUM(K104:L104)))</f>
        <v>#VALUE!</v>
      </c>
      <c r="K104" s="25" t="e">
        <f ca="1">IF(G104="Всього:",SUM($K$5:K103),F104*O103/36000*(G104-G103))</f>
        <v>#VALUE!</v>
      </c>
      <c r="L104" s="25" t="e">
        <f ca="1">IF(G104="Всього:",SUM($L$5:L103),$E$4)</f>
        <v>#DIV/0!</v>
      </c>
      <c r="M104" s="25" t="e">
        <f ca="1">IF(G104="Всього:",SUM($M$5:M103),IF($E$5="UAH",J104+L104+K104,J104+K104))</f>
        <v>#VALUE!</v>
      </c>
      <c r="N104" s="27" t="str">
        <f ca="1">IF(G104="Всього:",SUM($N$4:N103),IF($E$5="UAH","",L104))</f>
        <v/>
      </c>
      <c r="O104" s="25" t="e">
        <f t="shared" ca="1" si="8"/>
        <v>#DIV/0!</v>
      </c>
      <c r="P104" s="33">
        <f t="shared" ca="1" si="9"/>
        <v>49225</v>
      </c>
      <c r="Q104" s="8" t="e">
        <f t="shared" ca="1" si="12"/>
        <v>#VALUE!</v>
      </c>
    </row>
    <row r="105" spans="6:17" s="8" customFormat="1" ht="13.2" x14ac:dyDescent="0.25">
      <c r="F105" s="34" t="str">
        <f t="shared" ca="1" si="10"/>
        <v/>
      </c>
      <c r="G105" s="23">
        <f t="shared" ca="1" si="13"/>
        <v>49256</v>
      </c>
      <c r="H105" s="24" t="str">
        <f t="shared" si="11"/>
        <v/>
      </c>
      <c r="I105" s="25" t="e">
        <f ca="1">IF($G105="Всього:",SUM($I$4:I104),MAX($C$32,K105))</f>
        <v>#VALUE!</v>
      </c>
      <c r="J105" s="25" t="e">
        <f ca="1">IF($G105="Всього:",SUM($J$4:J104),IF(I105-SUM(K105:L105)&lt;0,0,I105-SUM(K105:L105)))</f>
        <v>#VALUE!</v>
      </c>
      <c r="K105" s="25" t="e">
        <f ca="1">IF(G105="Всього:",SUM($K$5:K104),F105*O104/36000*(G105-G104))</f>
        <v>#VALUE!</v>
      </c>
      <c r="L105" s="25" t="e">
        <f ca="1">IF(G105="Всього:",SUM($L$5:L104),$E$4)</f>
        <v>#DIV/0!</v>
      </c>
      <c r="M105" s="25" t="e">
        <f ca="1">IF(G105="Всього:",SUM($M$5:M104),IF($E$5="UAH",J105+L105+K105,J105+K105))</f>
        <v>#VALUE!</v>
      </c>
      <c r="N105" s="27" t="str">
        <f ca="1">IF(G105="Всього:",SUM($N$4:N104),IF($E$5="UAH","",L105))</f>
        <v/>
      </c>
      <c r="O105" s="25" t="e">
        <f t="shared" ca="1" si="8"/>
        <v>#DIV/0!</v>
      </c>
      <c r="P105" s="33">
        <f t="shared" ca="1" si="9"/>
        <v>49256</v>
      </c>
      <c r="Q105" s="8" t="e">
        <f t="shared" ca="1" si="12"/>
        <v>#VALUE!</v>
      </c>
    </row>
    <row r="106" spans="6:17" s="8" customFormat="1" ht="13.2" x14ac:dyDescent="0.25">
      <c r="F106" s="34" t="str">
        <f t="shared" ca="1" si="10"/>
        <v/>
      </c>
      <c r="G106" s="23">
        <f t="shared" ca="1" si="13"/>
        <v>49286</v>
      </c>
      <c r="H106" s="24" t="str">
        <f t="shared" si="11"/>
        <v/>
      </c>
      <c r="I106" s="25" t="e">
        <f ca="1">IF($G106="Всього:",SUM($I$4:I105),MAX($C$32,K106))</f>
        <v>#VALUE!</v>
      </c>
      <c r="J106" s="25" t="e">
        <f ca="1">IF($G106="Всього:",SUM($J$4:J105),IF(I106-SUM(K106:L106)&lt;0,0,I106-SUM(K106:L106)))</f>
        <v>#VALUE!</v>
      </c>
      <c r="K106" s="25" t="e">
        <f ca="1">IF(G106="Всього:",SUM($K$5:K105),F106*O105/36000*(G106-G105))</f>
        <v>#VALUE!</v>
      </c>
      <c r="L106" s="25" t="e">
        <f ca="1">IF(G106="Всього:",SUM($L$5:L105),$E$4)</f>
        <v>#DIV/0!</v>
      </c>
      <c r="M106" s="25" t="e">
        <f ca="1">IF(G106="Всього:",SUM($M$5:M105),IF($E$5="UAH",J106+L106+K106,J106+K106))</f>
        <v>#VALUE!</v>
      </c>
      <c r="N106" s="27" t="str">
        <f ca="1">IF(G106="Всього:",SUM($N$4:N105),IF($E$5="UAH","",L106))</f>
        <v/>
      </c>
      <c r="O106" s="25" t="e">
        <f t="shared" ca="1" si="8"/>
        <v>#DIV/0!</v>
      </c>
      <c r="P106" s="33">
        <f t="shared" ca="1" si="9"/>
        <v>49286</v>
      </c>
      <c r="Q106" s="8" t="e">
        <f t="shared" ca="1" si="12"/>
        <v>#VALUE!</v>
      </c>
    </row>
    <row r="107" spans="6:17" s="8" customFormat="1" ht="13.2" x14ac:dyDescent="0.25">
      <c r="F107" s="34" t="str">
        <f t="shared" ca="1" si="10"/>
        <v/>
      </c>
      <c r="G107" s="23">
        <f t="shared" ca="1" si="13"/>
        <v>49317</v>
      </c>
      <c r="H107" s="24" t="str">
        <f t="shared" si="11"/>
        <v/>
      </c>
      <c r="I107" s="25" t="e">
        <f ca="1">IF($G107="Всього:",SUM($I$4:I106),MAX($C$32,K107))</f>
        <v>#VALUE!</v>
      </c>
      <c r="J107" s="25" t="e">
        <f ca="1">IF($G107="Всього:",SUM($J$4:J106),IF(I107-SUM(K107:L107)&lt;0,0,I107-SUM(K107:L107)))</f>
        <v>#VALUE!</v>
      </c>
      <c r="K107" s="25" t="e">
        <f ca="1">IF(G107="Всього:",SUM($K$5:K106),F107*O106/36000*(G107-G106))</f>
        <v>#VALUE!</v>
      </c>
      <c r="L107" s="25" t="e">
        <f ca="1">IF(G107="Всього:",SUM($L$5:L106),$E$4)</f>
        <v>#DIV/0!</v>
      </c>
      <c r="M107" s="25" t="e">
        <f ca="1">IF(G107="Всього:",SUM($M$5:M106),IF($E$5="UAH",J107+L107+K107,J107+K107))</f>
        <v>#VALUE!</v>
      </c>
      <c r="N107" s="27" t="str">
        <f ca="1">IF(G107="Всього:",SUM($N$4:N106),IF($E$5="UAH","",L107))</f>
        <v/>
      </c>
      <c r="O107" s="25" t="e">
        <f t="shared" ca="1" si="8"/>
        <v>#DIV/0!</v>
      </c>
      <c r="P107" s="33">
        <f t="shared" ca="1" si="9"/>
        <v>49317</v>
      </c>
      <c r="Q107" s="8" t="e">
        <f t="shared" ca="1" si="12"/>
        <v>#VALUE!</v>
      </c>
    </row>
    <row r="108" spans="6:17" s="8" customFormat="1" ht="13.2" x14ac:dyDescent="0.25">
      <c r="F108" s="34" t="str">
        <f t="shared" ca="1" si="10"/>
        <v/>
      </c>
      <c r="G108" s="23">
        <f t="shared" ca="1" si="13"/>
        <v>49348</v>
      </c>
      <c r="H108" s="24" t="str">
        <f t="shared" si="11"/>
        <v/>
      </c>
      <c r="I108" s="25" t="e">
        <f ca="1">IF($G108="Всього:",SUM($I$4:I107),MAX($C$32,K108))</f>
        <v>#VALUE!</v>
      </c>
      <c r="J108" s="25" t="e">
        <f ca="1">IF($G108="Всього:",SUM($J$4:J107),IF(I108-SUM(K108:L108)&lt;0,0,I108-SUM(K108:L108)))</f>
        <v>#VALUE!</v>
      </c>
      <c r="K108" s="25" t="e">
        <f ca="1">IF(G108="Всього:",SUM($K$5:K107),F108*O107/36000*(G108-G107))</f>
        <v>#VALUE!</v>
      </c>
      <c r="L108" s="25" t="e">
        <f ca="1">IF(G108="Всього:",SUM($L$5:L107),$E$4)</f>
        <v>#DIV/0!</v>
      </c>
      <c r="M108" s="25" t="e">
        <f ca="1">IF(G108="Всього:",SUM($M$5:M107),IF($E$5="UAH",J108+L108+K108,J108+K108))</f>
        <v>#VALUE!</v>
      </c>
      <c r="N108" s="27" t="str">
        <f ca="1">IF(G108="Всього:",SUM($N$4:N107),IF($E$5="UAH","",L108))</f>
        <v/>
      </c>
      <c r="O108" s="25" t="e">
        <f t="shared" ca="1" si="8"/>
        <v>#DIV/0!</v>
      </c>
      <c r="P108" s="33">
        <f t="shared" ca="1" si="9"/>
        <v>49348</v>
      </c>
      <c r="Q108" s="8" t="e">
        <f t="shared" ca="1" si="12"/>
        <v>#VALUE!</v>
      </c>
    </row>
    <row r="109" spans="6:17" s="8" customFormat="1" ht="13.2" x14ac:dyDescent="0.25">
      <c r="F109" s="34" t="str">
        <f t="shared" ca="1" si="10"/>
        <v/>
      </c>
      <c r="G109" s="23">
        <f t="shared" ca="1" si="13"/>
        <v>49376</v>
      </c>
      <c r="H109" s="24" t="str">
        <f t="shared" si="11"/>
        <v/>
      </c>
      <c r="I109" s="25" t="e">
        <f ca="1">IF($G109="Всього:",SUM($I$4:I108),MAX($C$32,K109))</f>
        <v>#VALUE!</v>
      </c>
      <c r="J109" s="25" t="e">
        <f ca="1">IF($G109="Всього:",SUM($J$4:J108),IF(I109-SUM(K109:L109)&lt;0,0,I109-SUM(K109:L109)))</f>
        <v>#VALUE!</v>
      </c>
      <c r="K109" s="25" t="e">
        <f ca="1">IF(G109="Всього:",SUM($K$5:K108),F109*O108/36000*(G109-G108))</f>
        <v>#VALUE!</v>
      </c>
      <c r="L109" s="25" t="e">
        <f ca="1">IF(G109="Всього:",SUM($L$5:L108),$E$4)</f>
        <v>#DIV/0!</v>
      </c>
      <c r="M109" s="25" t="e">
        <f ca="1">IF(G109="Всього:",SUM($M$5:M108),IF($E$5="UAH",J109+L109+K109,J109+K109))</f>
        <v>#VALUE!</v>
      </c>
      <c r="N109" s="27" t="str">
        <f ca="1">IF(G109="Всього:",SUM($N$4:N108),IF($E$5="UAH","",L109))</f>
        <v/>
      </c>
      <c r="O109" s="25" t="e">
        <f t="shared" ca="1" si="8"/>
        <v>#DIV/0!</v>
      </c>
      <c r="P109" s="33">
        <f t="shared" ca="1" si="9"/>
        <v>49376</v>
      </c>
      <c r="Q109" s="8" t="e">
        <f t="shared" ca="1" si="12"/>
        <v>#VALUE!</v>
      </c>
    </row>
    <row r="110" spans="6:17" s="8" customFormat="1" ht="13.2" x14ac:dyDescent="0.25">
      <c r="F110" s="34" t="str">
        <f t="shared" ca="1" si="10"/>
        <v/>
      </c>
      <c r="G110" s="23">
        <f t="shared" ca="1" si="13"/>
        <v>49407</v>
      </c>
      <c r="H110" s="24" t="str">
        <f t="shared" si="11"/>
        <v/>
      </c>
      <c r="I110" s="25" t="e">
        <f ca="1">IF($G110="Всього:",SUM($I$4:I109),MAX($C$32,K110))</f>
        <v>#VALUE!</v>
      </c>
      <c r="J110" s="25" t="e">
        <f ca="1">IF($G110="Всього:",SUM($J$4:J109),IF(I110-SUM(K110:L110)&lt;0,0,I110-SUM(K110:L110)))</f>
        <v>#VALUE!</v>
      </c>
      <c r="K110" s="25" t="e">
        <f ca="1">IF(G110="Всього:",SUM($K$5:K109),F110*O109/36000*(G110-G109))</f>
        <v>#VALUE!</v>
      </c>
      <c r="L110" s="25" t="e">
        <f ca="1">IF(G110="Всього:",SUM($L$5:L109),$E$4)</f>
        <v>#DIV/0!</v>
      </c>
      <c r="M110" s="25" t="e">
        <f ca="1">IF(G110="Всього:",SUM($M$5:M109),IF($E$5="UAH",J110+L110+K110,J110+K110))</f>
        <v>#VALUE!</v>
      </c>
      <c r="N110" s="27" t="str">
        <f ca="1">IF(G110="Всього:",SUM($N$4:N109),IF($E$5="UAH","",L110))</f>
        <v/>
      </c>
      <c r="O110" s="25" t="e">
        <f t="shared" ca="1" si="8"/>
        <v>#DIV/0!</v>
      </c>
      <c r="P110" s="33">
        <f t="shared" ca="1" si="9"/>
        <v>49407</v>
      </c>
      <c r="Q110" s="8" t="e">
        <f t="shared" ca="1" si="12"/>
        <v>#VALUE!</v>
      </c>
    </row>
    <row r="111" spans="6:17" s="8" customFormat="1" ht="13.2" x14ac:dyDescent="0.25">
      <c r="F111" s="34" t="str">
        <f t="shared" ca="1" si="10"/>
        <v/>
      </c>
      <c r="G111" s="23">
        <f t="shared" ca="1" si="13"/>
        <v>49437</v>
      </c>
      <c r="H111" s="24" t="str">
        <f t="shared" si="11"/>
        <v/>
      </c>
      <c r="I111" s="25" t="e">
        <f ca="1">IF($G111="Всього:",SUM($I$4:I110),MAX($C$32,K111))</f>
        <v>#VALUE!</v>
      </c>
      <c r="J111" s="25" t="e">
        <f ca="1">IF($G111="Всього:",SUM($J$4:J110),IF(I111-SUM(K111:L111)&lt;0,0,I111-SUM(K111:L111)))</f>
        <v>#VALUE!</v>
      </c>
      <c r="K111" s="25" t="e">
        <f ca="1">IF(G111="Всього:",SUM($K$5:K110),F111*O110/36000*(G111-G110))</f>
        <v>#VALUE!</v>
      </c>
      <c r="L111" s="25" t="e">
        <f ca="1">IF(G111="Всього:",SUM($L$5:L110),$E$4)</f>
        <v>#DIV/0!</v>
      </c>
      <c r="M111" s="25" t="e">
        <f ca="1">IF(G111="Всього:",SUM($M$5:M110),IF($E$5="UAH",J111+L111+K111,J111+K111))</f>
        <v>#VALUE!</v>
      </c>
      <c r="N111" s="27" t="str">
        <f ca="1">IF(G111="Всього:",SUM($N$4:N110),IF($E$5="UAH","",L111))</f>
        <v/>
      </c>
      <c r="O111" s="25" t="e">
        <f t="shared" ca="1" si="8"/>
        <v>#DIV/0!</v>
      </c>
      <c r="P111" s="33">
        <f t="shared" ca="1" si="9"/>
        <v>49437</v>
      </c>
      <c r="Q111" s="8" t="e">
        <f t="shared" ca="1" si="12"/>
        <v>#VALUE!</v>
      </c>
    </row>
    <row r="112" spans="6:17" s="8" customFormat="1" ht="13.2" x14ac:dyDescent="0.25">
      <c r="F112" s="34" t="str">
        <f t="shared" ca="1" si="10"/>
        <v/>
      </c>
      <c r="G112" s="23">
        <f t="shared" ca="1" si="13"/>
        <v>49468</v>
      </c>
      <c r="H112" s="24" t="str">
        <f t="shared" si="11"/>
        <v/>
      </c>
      <c r="I112" s="25" t="e">
        <f ca="1">IF($G112="Всього:",SUM($I$4:I111),MAX($C$32,K112))</f>
        <v>#VALUE!</v>
      </c>
      <c r="J112" s="25" t="e">
        <f ca="1">IF($G112="Всього:",SUM($J$4:J111),IF(I112-SUM(K112:L112)&lt;0,0,I112-SUM(K112:L112)))</f>
        <v>#VALUE!</v>
      </c>
      <c r="K112" s="25" t="e">
        <f ca="1">IF(G112="Всього:",SUM($K$5:K111),F112*O111/36000*(G112-G111))</f>
        <v>#VALUE!</v>
      </c>
      <c r="L112" s="25" t="e">
        <f ca="1">IF(G112="Всього:",SUM($L$5:L111),$E$4)</f>
        <v>#DIV/0!</v>
      </c>
      <c r="M112" s="25" t="e">
        <f ca="1">IF(G112="Всього:",SUM($M$5:M111),IF($E$5="UAH",J112+L112+K112,J112+K112))</f>
        <v>#VALUE!</v>
      </c>
      <c r="N112" s="27" t="str">
        <f ca="1">IF(G112="Всього:",SUM($N$4:N111),IF($E$5="UAH","",L112))</f>
        <v/>
      </c>
      <c r="O112" s="25" t="e">
        <f t="shared" ca="1" si="8"/>
        <v>#DIV/0!</v>
      </c>
      <c r="P112" s="33">
        <f t="shared" ca="1" si="9"/>
        <v>49468</v>
      </c>
      <c r="Q112" s="8" t="e">
        <f t="shared" ca="1" si="12"/>
        <v>#VALUE!</v>
      </c>
    </row>
    <row r="113" spans="6:17" s="8" customFormat="1" ht="13.2" x14ac:dyDescent="0.25">
      <c r="F113" s="34" t="str">
        <f t="shared" ca="1" si="10"/>
        <v/>
      </c>
      <c r="G113" s="23">
        <f t="shared" ca="1" si="13"/>
        <v>49498</v>
      </c>
      <c r="H113" s="24" t="str">
        <f t="shared" si="11"/>
        <v/>
      </c>
      <c r="I113" s="25" t="e">
        <f ca="1">IF($G113="Всього:",SUM($I$4:I112),MAX($C$32,K113))</f>
        <v>#VALUE!</v>
      </c>
      <c r="J113" s="25" t="e">
        <f ca="1">IF($G113="Всього:",SUM($J$4:J112),IF(I113-SUM(K113:L113)&lt;0,0,I113-SUM(K113:L113)))</f>
        <v>#VALUE!</v>
      </c>
      <c r="K113" s="25" t="e">
        <f ca="1">IF(G113="Всього:",SUM($K$5:K112),F113*O112/36000*(G113-G112))</f>
        <v>#VALUE!</v>
      </c>
      <c r="L113" s="25" t="e">
        <f ca="1">IF(G113="Всього:",SUM($L$5:L112),$E$4)</f>
        <v>#DIV/0!</v>
      </c>
      <c r="M113" s="25" t="e">
        <f ca="1">IF(G113="Всього:",SUM($M$5:M112),IF($E$5="UAH",J113+L113+K113,J113+K113))</f>
        <v>#VALUE!</v>
      </c>
      <c r="N113" s="27" t="str">
        <f ca="1">IF(G113="Всього:",SUM($N$4:N112),IF($E$5="UAH","",L113))</f>
        <v/>
      </c>
      <c r="O113" s="25" t="e">
        <f t="shared" ca="1" si="8"/>
        <v>#DIV/0!</v>
      </c>
      <c r="P113" s="33">
        <f t="shared" ca="1" si="9"/>
        <v>49498</v>
      </c>
      <c r="Q113" s="8" t="e">
        <f t="shared" ca="1" si="12"/>
        <v>#VALUE!</v>
      </c>
    </row>
    <row r="114" spans="6:17" s="8" customFormat="1" ht="13.2" x14ac:dyDescent="0.25">
      <c r="F114" s="34" t="str">
        <f t="shared" ca="1" si="10"/>
        <v/>
      </c>
      <c r="G114" s="23">
        <f t="shared" ca="1" si="13"/>
        <v>49529</v>
      </c>
      <c r="H114" s="24" t="str">
        <f t="shared" si="11"/>
        <v/>
      </c>
      <c r="I114" s="25" t="e">
        <f ca="1">IF($G114="Всього:",SUM($I$4:I113),MAX($C$32,K114))</f>
        <v>#VALUE!</v>
      </c>
      <c r="J114" s="25" t="e">
        <f ca="1">IF($G114="Всього:",SUM($J$4:J113),IF(I114-SUM(K114:L114)&lt;0,0,I114-SUM(K114:L114)))</f>
        <v>#VALUE!</v>
      </c>
      <c r="K114" s="25" t="e">
        <f ca="1">IF(G114="Всього:",SUM($K$5:K113),F114*O113/36000*(G114-G113))</f>
        <v>#VALUE!</v>
      </c>
      <c r="L114" s="25" t="e">
        <f ca="1">IF(G114="Всього:",SUM($L$5:L113),$E$4)</f>
        <v>#DIV/0!</v>
      </c>
      <c r="M114" s="25" t="e">
        <f ca="1">IF(G114="Всього:",SUM($M$5:M113),IF($E$5="UAH",J114+L114+K114,J114+K114))</f>
        <v>#VALUE!</v>
      </c>
      <c r="N114" s="27" t="str">
        <f ca="1">IF(G114="Всього:",SUM($N$4:N113),IF($E$5="UAH","",L114))</f>
        <v/>
      </c>
      <c r="O114" s="25" t="e">
        <f t="shared" ca="1" si="8"/>
        <v>#DIV/0!</v>
      </c>
      <c r="P114" s="33">
        <f t="shared" ca="1" si="9"/>
        <v>49529</v>
      </c>
      <c r="Q114" s="8" t="e">
        <f t="shared" ca="1" si="12"/>
        <v>#VALUE!</v>
      </c>
    </row>
    <row r="115" spans="6:17" s="8" customFormat="1" ht="13.2" x14ac:dyDescent="0.25">
      <c r="F115" s="34" t="str">
        <f t="shared" ca="1" si="10"/>
        <v/>
      </c>
      <c r="G115" s="23">
        <f t="shared" ca="1" si="13"/>
        <v>49560</v>
      </c>
      <c r="H115" s="24" t="str">
        <f t="shared" si="11"/>
        <v/>
      </c>
      <c r="I115" s="25" t="e">
        <f ca="1">IF($G115="Всього:",SUM($I$4:I114),MAX($C$32,K115))</f>
        <v>#VALUE!</v>
      </c>
      <c r="J115" s="25" t="e">
        <f ca="1">IF($G115="Всього:",SUM($J$4:J114),IF(I115-SUM(K115:L115)&lt;0,0,I115-SUM(K115:L115)))</f>
        <v>#VALUE!</v>
      </c>
      <c r="K115" s="25" t="e">
        <f ca="1">IF(G115="Всього:",SUM($K$5:K114),F115*O114/36000*(G115-G114))</f>
        <v>#VALUE!</v>
      </c>
      <c r="L115" s="25" t="e">
        <f ca="1">IF(G115="Всього:",SUM($L$5:L114),$E$4)</f>
        <v>#DIV/0!</v>
      </c>
      <c r="M115" s="25" t="e">
        <f ca="1">IF(G115="Всього:",SUM($M$5:M114),IF($E$5="UAH",J115+L115+K115,J115+K115))</f>
        <v>#VALUE!</v>
      </c>
      <c r="N115" s="27" t="str">
        <f ca="1">IF(G115="Всього:",SUM($N$4:N114),IF($E$5="UAH","",L115))</f>
        <v/>
      </c>
      <c r="O115" s="25" t="e">
        <f t="shared" ca="1" si="8"/>
        <v>#DIV/0!</v>
      </c>
      <c r="P115" s="33">
        <f t="shared" ca="1" si="9"/>
        <v>49560</v>
      </c>
      <c r="Q115" s="8" t="e">
        <f t="shared" ca="1" si="12"/>
        <v>#VALUE!</v>
      </c>
    </row>
    <row r="116" spans="6:17" s="8" customFormat="1" ht="13.2" x14ac:dyDescent="0.25">
      <c r="F116" s="34" t="str">
        <f t="shared" ca="1" si="10"/>
        <v/>
      </c>
      <c r="G116" s="23">
        <f t="shared" ca="1" si="13"/>
        <v>49590</v>
      </c>
      <c r="H116" s="24" t="str">
        <f t="shared" si="11"/>
        <v/>
      </c>
      <c r="I116" s="25" t="e">
        <f ca="1">IF($G116="Всього:",SUM($I$4:I115),MAX($C$32,K116))</f>
        <v>#VALUE!</v>
      </c>
      <c r="J116" s="25" t="e">
        <f ca="1">IF($G116="Всього:",SUM($J$4:J115),IF(I116-SUM(K116:L116)&lt;0,0,I116-SUM(K116:L116)))</f>
        <v>#VALUE!</v>
      </c>
      <c r="K116" s="25" t="e">
        <f ca="1">IF(G116="Всього:",SUM($K$5:K115),F116*O115/36000*(G116-G115))</f>
        <v>#VALUE!</v>
      </c>
      <c r="L116" s="25" t="e">
        <f ca="1">IF(G116="Всього:",SUM($L$5:L115),$E$4)</f>
        <v>#DIV/0!</v>
      </c>
      <c r="M116" s="25" t="e">
        <f ca="1">IF(G116="Всього:",SUM($M$5:M115),IF($E$5="UAH",J116+L116+K116,J116+K116))</f>
        <v>#VALUE!</v>
      </c>
      <c r="N116" s="27" t="str">
        <f ca="1">IF(G116="Всього:",SUM($N$4:N115),IF($E$5="UAH","",L116))</f>
        <v/>
      </c>
      <c r="O116" s="25" t="e">
        <f t="shared" ca="1" si="8"/>
        <v>#DIV/0!</v>
      </c>
      <c r="P116" s="33">
        <f t="shared" ca="1" si="9"/>
        <v>49590</v>
      </c>
      <c r="Q116" s="8" t="e">
        <f t="shared" ca="1" si="12"/>
        <v>#VALUE!</v>
      </c>
    </row>
    <row r="117" spans="6:17" s="8" customFormat="1" ht="13.2" x14ac:dyDescent="0.25">
      <c r="F117" s="34" t="str">
        <f t="shared" ca="1" si="10"/>
        <v/>
      </c>
      <c r="G117" s="23">
        <f t="shared" ca="1" si="13"/>
        <v>49621</v>
      </c>
      <c r="H117" s="24" t="str">
        <f t="shared" si="11"/>
        <v/>
      </c>
      <c r="I117" s="25" t="e">
        <f ca="1">IF($G117="Всього:",SUM($I$4:I116),MAX($C$32,K117))</f>
        <v>#VALUE!</v>
      </c>
      <c r="J117" s="25" t="e">
        <f ca="1">IF($G117="Всього:",SUM($J$4:J116),IF(I117-SUM(K117:L117)&lt;0,0,I117-SUM(K117:L117)))</f>
        <v>#VALUE!</v>
      </c>
      <c r="K117" s="25" t="e">
        <f ca="1">IF(G117="Всього:",SUM($K$5:K116),F117*O116/36000*(G117-G116))</f>
        <v>#VALUE!</v>
      </c>
      <c r="L117" s="25" t="e">
        <f ca="1">IF(G117="Всього:",SUM($L$5:L116),$E$4)</f>
        <v>#DIV/0!</v>
      </c>
      <c r="M117" s="25" t="e">
        <f ca="1">IF(G117="Всього:",SUM($M$5:M116),IF($E$5="UAH",J117+L117+K117,J117+K117))</f>
        <v>#VALUE!</v>
      </c>
      <c r="N117" s="27" t="str">
        <f ca="1">IF(G117="Всього:",SUM($N$4:N116),IF($E$5="UAH","",L117))</f>
        <v/>
      </c>
      <c r="O117" s="25" t="e">
        <f t="shared" ca="1" si="8"/>
        <v>#DIV/0!</v>
      </c>
      <c r="P117" s="33">
        <f t="shared" ca="1" si="9"/>
        <v>49621</v>
      </c>
      <c r="Q117" s="8" t="e">
        <f t="shared" ca="1" si="12"/>
        <v>#VALUE!</v>
      </c>
    </row>
    <row r="118" spans="6:17" s="8" customFormat="1" ht="13.2" x14ac:dyDescent="0.25">
      <c r="F118" s="34" t="str">
        <f t="shared" ca="1" si="10"/>
        <v/>
      </c>
      <c r="G118" s="23">
        <f t="shared" ca="1" si="13"/>
        <v>49651</v>
      </c>
      <c r="H118" s="24" t="str">
        <f t="shared" si="11"/>
        <v/>
      </c>
      <c r="I118" s="25" t="e">
        <f ca="1">IF($G118="Всього:",SUM($I$4:I117),MAX($C$32,K118))</f>
        <v>#VALUE!</v>
      </c>
      <c r="J118" s="25" t="e">
        <f ca="1">IF($G118="Всього:",SUM($J$4:J117),IF(I118-SUM(K118:L118)&lt;0,0,I118-SUM(K118:L118)))</f>
        <v>#VALUE!</v>
      </c>
      <c r="K118" s="25" t="e">
        <f ca="1">IF(G118="Всього:",SUM($K$5:K117),F118*O117/36000*(G118-G117))</f>
        <v>#VALUE!</v>
      </c>
      <c r="L118" s="25" t="e">
        <f ca="1">IF(G118="Всього:",SUM($L$5:L117),$E$4)</f>
        <v>#DIV/0!</v>
      </c>
      <c r="M118" s="25" t="e">
        <f ca="1">IF(G118="Всього:",SUM($M$5:M117),IF($E$5="UAH",J118+L118+K118,J118+K118))</f>
        <v>#VALUE!</v>
      </c>
      <c r="N118" s="27" t="str">
        <f ca="1">IF(G118="Всього:",SUM($N$4:N117),IF($E$5="UAH","",L118))</f>
        <v/>
      </c>
      <c r="O118" s="25" t="e">
        <f t="shared" ca="1" si="8"/>
        <v>#DIV/0!</v>
      </c>
      <c r="P118" s="33">
        <f t="shared" ca="1" si="9"/>
        <v>49651</v>
      </c>
      <c r="Q118" s="8" t="e">
        <f t="shared" ca="1" si="12"/>
        <v>#VALUE!</v>
      </c>
    </row>
    <row r="119" spans="6:17" s="8" customFormat="1" ht="13.2" x14ac:dyDescent="0.25">
      <c r="F119" s="34" t="str">
        <f t="shared" ca="1" si="10"/>
        <v/>
      </c>
      <c r="G119" s="23">
        <f t="shared" ca="1" si="13"/>
        <v>49682</v>
      </c>
      <c r="H119" s="24" t="str">
        <f t="shared" si="11"/>
        <v/>
      </c>
      <c r="I119" s="25" t="e">
        <f ca="1">IF($G119="Всього:",SUM($I$4:I118),MAX($C$32,K119))</f>
        <v>#VALUE!</v>
      </c>
      <c r="J119" s="25" t="e">
        <f ca="1">IF($G119="Всього:",SUM($J$4:J118),IF(I119-SUM(K119:L119)&lt;0,0,I119-SUM(K119:L119)))</f>
        <v>#VALUE!</v>
      </c>
      <c r="K119" s="25" t="e">
        <f ca="1">IF(G119="Всього:",SUM($K$5:K118),F119*O118/36000*(G119-G118))</f>
        <v>#VALUE!</v>
      </c>
      <c r="L119" s="25" t="e">
        <f ca="1">IF(G119="Всього:",SUM($L$5:L118),$E$4)</f>
        <v>#DIV/0!</v>
      </c>
      <c r="M119" s="25" t="e">
        <f ca="1">IF(G119="Всього:",SUM($M$5:M118),IF($E$5="UAH",J119+L119+K119,J119+K119))</f>
        <v>#VALUE!</v>
      </c>
      <c r="N119" s="27" t="str">
        <f ca="1">IF(G119="Всього:",SUM($N$4:N118),IF($E$5="UAH","",L119))</f>
        <v/>
      </c>
      <c r="O119" s="25" t="e">
        <f t="shared" ca="1" si="8"/>
        <v>#DIV/0!</v>
      </c>
      <c r="P119" s="33">
        <f t="shared" ca="1" si="9"/>
        <v>49682</v>
      </c>
      <c r="Q119" s="8" t="e">
        <f t="shared" ca="1" si="12"/>
        <v>#VALUE!</v>
      </c>
    </row>
    <row r="120" spans="6:17" s="8" customFormat="1" ht="13.2" x14ac:dyDescent="0.25">
      <c r="F120" s="34" t="str">
        <f t="shared" ca="1" si="10"/>
        <v/>
      </c>
      <c r="G120" s="23">
        <f t="shared" ca="1" si="13"/>
        <v>49713</v>
      </c>
      <c r="H120" s="24" t="str">
        <f t="shared" si="11"/>
        <v/>
      </c>
      <c r="I120" s="25" t="e">
        <f ca="1">IF($G120="Всього:",SUM($I$4:I119),MAX($C$32,K120))</f>
        <v>#VALUE!</v>
      </c>
      <c r="J120" s="25" t="e">
        <f ca="1">IF($G120="Всього:",SUM($J$4:J119),IF(I120-SUM(K120:L120)&lt;0,0,I120-SUM(K120:L120)))</f>
        <v>#VALUE!</v>
      </c>
      <c r="K120" s="25" t="e">
        <f ca="1">IF(G120="Всього:",SUM($K$5:K119),F120*O119/36000*(G120-G119))</f>
        <v>#VALUE!</v>
      </c>
      <c r="L120" s="25" t="e">
        <f ca="1">IF(G120="Всього:",SUM($L$5:L119),$E$4)</f>
        <v>#DIV/0!</v>
      </c>
      <c r="M120" s="25" t="e">
        <f ca="1">IF(G120="Всього:",SUM($M$5:M119),IF($E$5="UAH",J120+L120+K120,J120+K120))</f>
        <v>#VALUE!</v>
      </c>
      <c r="N120" s="27" t="str">
        <f ca="1">IF(G120="Всього:",SUM($N$4:N119),IF($E$5="UAH","",L120))</f>
        <v/>
      </c>
      <c r="O120" s="25" t="e">
        <f t="shared" ca="1" si="8"/>
        <v>#DIV/0!</v>
      </c>
      <c r="P120" s="33">
        <f t="shared" ca="1" si="9"/>
        <v>49713</v>
      </c>
      <c r="Q120" s="8" t="e">
        <f t="shared" ca="1" si="12"/>
        <v>#VALUE!</v>
      </c>
    </row>
    <row r="121" spans="6:17" s="8" customFormat="1" ht="13.2" x14ac:dyDescent="0.25">
      <c r="F121" s="34" t="str">
        <f t="shared" ca="1" si="10"/>
        <v/>
      </c>
      <c r="G121" s="23">
        <f t="shared" ca="1" si="13"/>
        <v>49742</v>
      </c>
      <c r="H121" s="24" t="str">
        <f t="shared" si="11"/>
        <v/>
      </c>
      <c r="I121" s="25" t="e">
        <f ca="1">IF($G121="Всього:",SUM($I$4:I120),MAX($C$32,K121))</f>
        <v>#VALUE!</v>
      </c>
      <c r="J121" s="25" t="e">
        <f ca="1">IF($G121="Всього:",SUM($J$4:J120),IF(I121-SUM(K121:L121)&lt;0,0,I121-SUM(K121:L121)))</f>
        <v>#VALUE!</v>
      </c>
      <c r="K121" s="25" t="e">
        <f ca="1">IF(G121="Всього:",SUM($K$5:K120),F121*O120/36000*(G121-G120))</f>
        <v>#VALUE!</v>
      </c>
      <c r="L121" s="25" t="e">
        <f ca="1">IF(G121="Всього:",SUM($L$5:L120),$E$4)</f>
        <v>#DIV/0!</v>
      </c>
      <c r="M121" s="25" t="e">
        <f ca="1">IF(G121="Всього:",SUM($M$5:M120),IF($E$5="UAH",J121+L121+K121,J121+K121))</f>
        <v>#VALUE!</v>
      </c>
      <c r="N121" s="27" t="str">
        <f ca="1">IF(G121="Всього:",SUM($N$4:N120),IF($E$5="UAH","",L121))</f>
        <v/>
      </c>
      <c r="O121" s="25" t="e">
        <f t="shared" ca="1" si="8"/>
        <v>#DIV/0!</v>
      </c>
      <c r="P121" s="33">
        <f t="shared" ca="1" si="9"/>
        <v>49742</v>
      </c>
      <c r="Q121" s="8" t="e">
        <f t="shared" ca="1" si="12"/>
        <v>#VALUE!</v>
      </c>
    </row>
    <row r="122" spans="6:17" s="8" customFormat="1" ht="13.2" x14ac:dyDescent="0.25">
      <c r="F122" s="34" t="str">
        <f t="shared" ca="1" si="10"/>
        <v/>
      </c>
      <c r="G122" s="23">
        <f t="shared" ca="1" si="13"/>
        <v>49773</v>
      </c>
      <c r="H122" s="24" t="str">
        <f t="shared" si="11"/>
        <v/>
      </c>
      <c r="I122" s="25" t="e">
        <f ca="1">IF($G122="Всього:",SUM($I$4:I121),MAX($C$32,K122))</f>
        <v>#VALUE!</v>
      </c>
      <c r="J122" s="25" t="e">
        <f ca="1">IF($G122="Всього:",SUM($J$4:J121),IF(I122-SUM(K122:L122)&lt;0,0,I122-SUM(K122:L122)))</f>
        <v>#VALUE!</v>
      </c>
      <c r="K122" s="25" t="e">
        <f ca="1">IF(G122="Всього:",SUM($K$5:K121),F122*O121/36000*(G122-G121))</f>
        <v>#VALUE!</v>
      </c>
      <c r="L122" s="25" t="e">
        <f ca="1">IF(G122="Всього:",SUM($L$5:L121),$E$4)</f>
        <v>#DIV/0!</v>
      </c>
      <c r="M122" s="25" t="e">
        <f ca="1">IF(G122="Всього:",SUM($M$5:M121),IF($E$5="UAH",J122+L122+K122,J122+K122))</f>
        <v>#VALUE!</v>
      </c>
      <c r="N122" s="27" t="str">
        <f ca="1">IF(G122="Всього:",SUM($N$4:N121),IF($E$5="UAH","",L122))</f>
        <v/>
      </c>
      <c r="O122" s="25" t="e">
        <f t="shared" ca="1" si="8"/>
        <v>#DIV/0!</v>
      </c>
      <c r="P122" s="33">
        <f t="shared" ca="1" si="9"/>
        <v>49773</v>
      </c>
      <c r="Q122" s="8" t="e">
        <f t="shared" ca="1" si="12"/>
        <v>#VALUE!</v>
      </c>
    </row>
    <row r="123" spans="6:17" s="8" customFormat="1" ht="13.2" x14ac:dyDescent="0.25">
      <c r="F123" s="34" t="str">
        <f t="shared" ca="1" si="10"/>
        <v/>
      </c>
      <c r="G123" s="23">
        <f t="shared" ca="1" si="13"/>
        <v>49803</v>
      </c>
      <c r="H123" s="24" t="str">
        <f t="shared" si="11"/>
        <v/>
      </c>
      <c r="I123" s="25" t="e">
        <f ca="1">IF($G123="Всього:",SUM($I$4:I122),MAX($C$32,K123))</f>
        <v>#VALUE!</v>
      </c>
      <c r="J123" s="25" t="e">
        <f ca="1">IF($G123="Всього:",SUM($J$4:J122),IF(I123-SUM(K123:L123)&lt;0,0,I123-SUM(K123:L123)))</f>
        <v>#VALUE!</v>
      </c>
      <c r="K123" s="25" t="e">
        <f ca="1">IF(G123="Всього:",SUM($K$5:K122),F123*O122/36000*(G123-G122))</f>
        <v>#VALUE!</v>
      </c>
      <c r="L123" s="25" t="e">
        <f ca="1">IF(G123="Всього:",SUM($L$5:L122),$E$4)</f>
        <v>#DIV/0!</v>
      </c>
      <c r="M123" s="25" t="e">
        <f ca="1">IF(G123="Всього:",SUM($M$5:M122),IF($E$5="UAH",J123+L123+K123,J123+K123))</f>
        <v>#VALUE!</v>
      </c>
      <c r="N123" s="27" t="str">
        <f ca="1">IF(G123="Всього:",SUM($N$4:N122),IF($E$5="UAH","",L123))</f>
        <v/>
      </c>
      <c r="O123" s="25" t="e">
        <f t="shared" ca="1" si="8"/>
        <v>#DIV/0!</v>
      </c>
      <c r="P123" s="33">
        <f t="shared" ca="1" si="9"/>
        <v>49803</v>
      </c>
      <c r="Q123" s="8" t="e">
        <f t="shared" ca="1" si="12"/>
        <v>#VALUE!</v>
      </c>
    </row>
    <row r="124" spans="6:17" s="8" customFormat="1" ht="13.2" x14ac:dyDescent="0.25">
      <c r="F124" s="34" t="str">
        <f t="shared" ca="1" si="10"/>
        <v/>
      </c>
      <c r="G124" s="23">
        <f t="shared" ca="1" si="13"/>
        <v>49834</v>
      </c>
      <c r="H124" s="24" t="str">
        <f t="shared" si="11"/>
        <v/>
      </c>
      <c r="I124" s="25" t="e">
        <f ca="1">IF($G124="Всього:",SUM($I$4:I123),MAX($C$32,K124))</f>
        <v>#VALUE!</v>
      </c>
      <c r="J124" s="25" t="e">
        <f ca="1">IF($G124="Всього:",SUM($J$4:J123),IF(I124-SUM(K124:L124)&lt;0,0,I124-SUM(K124:L124)))</f>
        <v>#VALUE!</v>
      </c>
      <c r="K124" s="25" t="e">
        <f ca="1">IF(G124="Всього:",SUM($K$5:K123),F124*O123/36000*(G124-G123))</f>
        <v>#VALUE!</v>
      </c>
      <c r="L124" s="25" t="e">
        <f ca="1">IF(G124="Всього:",SUM($L$5:L123),$E$4)</f>
        <v>#DIV/0!</v>
      </c>
      <c r="M124" s="25" t="e">
        <f ca="1">IF(G124="Всього:",SUM($M$5:M123),IF($E$5="UAH",J124+L124+K124,J124+K124))</f>
        <v>#VALUE!</v>
      </c>
      <c r="N124" s="27" t="str">
        <f ca="1">IF(G124="Всього:",SUM($N$4:N123),IF($E$5="UAH","",L124))</f>
        <v/>
      </c>
      <c r="O124" s="25" t="e">
        <f t="shared" ca="1" si="8"/>
        <v>#DIV/0!</v>
      </c>
      <c r="P124" s="33">
        <f t="shared" ca="1" si="9"/>
        <v>49834</v>
      </c>
      <c r="Q124" s="8" t="e">
        <f t="shared" ca="1" si="12"/>
        <v>#VALUE!</v>
      </c>
    </row>
    <row r="125" spans="6:17" s="8" customFormat="1" ht="13.2" x14ac:dyDescent="0.25">
      <c r="F125" s="34" t="str">
        <f t="shared" ca="1" si="10"/>
        <v/>
      </c>
      <c r="G125" s="23">
        <f t="shared" ca="1" si="13"/>
        <v>49864</v>
      </c>
      <c r="H125" s="24" t="str">
        <f t="shared" si="11"/>
        <v/>
      </c>
      <c r="I125" s="25" t="e">
        <f ca="1">IF($G125="Всього:",SUM($I$4:I124),MAX($C$32,K125))</f>
        <v>#VALUE!</v>
      </c>
      <c r="J125" s="25" t="e">
        <f ca="1">IF($G125="Всього:",SUM($J$4:J124),IF(I125-SUM(K125:L125)&lt;0,0,I125-SUM(K125:L125)))</f>
        <v>#VALUE!</v>
      </c>
      <c r="K125" s="25" t="e">
        <f ca="1">IF(G125="Всього:",SUM($K$5:K124),F125*O124/36000*(G125-G124))</f>
        <v>#VALUE!</v>
      </c>
      <c r="L125" s="25" t="e">
        <f ca="1">IF(G125="Всього:",SUM($L$5:L124),$E$4)</f>
        <v>#DIV/0!</v>
      </c>
      <c r="M125" s="25" t="e">
        <f ca="1">IF(G125="Всього:",SUM($M$5:M124),IF($E$5="UAH",J125+L125+K125,J125+K125))</f>
        <v>#VALUE!</v>
      </c>
      <c r="N125" s="27" t="str">
        <f ca="1">IF(G125="Всього:",SUM($N$4:N124),IF($E$5="UAH","",L125))</f>
        <v/>
      </c>
      <c r="O125" s="25" t="e">
        <f t="shared" ca="1" si="8"/>
        <v>#DIV/0!</v>
      </c>
      <c r="P125" s="33">
        <f t="shared" ca="1" si="9"/>
        <v>49864</v>
      </c>
      <c r="Q125" s="8" t="e">
        <f t="shared" ca="1" si="12"/>
        <v>#VALUE!</v>
      </c>
    </row>
    <row r="126" spans="6:17" s="8" customFormat="1" ht="13.2" x14ac:dyDescent="0.25">
      <c r="F126" s="34" t="str">
        <f t="shared" ca="1" si="10"/>
        <v/>
      </c>
      <c r="G126" s="23">
        <f t="shared" ca="1" si="13"/>
        <v>49895</v>
      </c>
      <c r="H126" s="24" t="str">
        <f t="shared" si="11"/>
        <v/>
      </c>
      <c r="I126" s="25" t="e">
        <f ca="1">IF($G126="Всього:",SUM($I$4:I125),MAX($C$32,K126))</f>
        <v>#VALUE!</v>
      </c>
      <c r="J126" s="25" t="e">
        <f ca="1">IF($G126="Всього:",SUM($J$4:J125),IF(I126-SUM(K126:L126)&lt;0,0,I126-SUM(K126:L126)))</f>
        <v>#VALUE!</v>
      </c>
      <c r="K126" s="25" t="e">
        <f ca="1">IF(G126="Всього:",SUM($K$5:K125),F126*O125/36000*(G126-G125))</f>
        <v>#VALUE!</v>
      </c>
      <c r="L126" s="25" t="e">
        <f ca="1">IF(G126="Всього:",SUM($L$5:L125),$E$4)</f>
        <v>#DIV/0!</v>
      </c>
      <c r="M126" s="25" t="e">
        <f ca="1">IF(G126="Всього:",SUM($M$5:M125),IF($E$5="UAH",J126+L126+K126,J126+K126))</f>
        <v>#VALUE!</v>
      </c>
      <c r="N126" s="27" t="str">
        <f ca="1">IF(G126="Всього:",SUM($N$4:N125),IF($E$5="UAH","",L126))</f>
        <v/>
      </c>
      <c r="O126" s="25" t="e">
        <f t="shared" ca="1" si="8"/>
        <v>#DIV/0!</v>
      </c>
      <c r="P126" s="33">
        <f t="shared" ca="1" si="9"/>
        <v>49895</v>
      </c>
      <c r="Q126" s="8" t="e">
        <f t="shared" ca="1" si="12"/>
        <v>#VALUE!</v>
      </c>
    </row>
    <row r="127" spans="6:17" s="8" customFormat="1" ht="13.2" x14ac:dyDescent="0.25">
      <c r="F127" s="34" t="str">
        <f t="shared" ca="1" si="10"/>
        <v/>
      </c>
      <c r="G127" s="23">
        <f t="shared" ca="1" si="13"/>
        <v>49926</v>
      </c>
      <c r="H127" s="24" t="str">
        <f t="shared" si="11"/>
        <v/>
      </c>
      <c r="I127" s="25" t="e">
        <f ca="1">IF($G127="Всього:",SUM($I$4:I126),MAX($C$32,K127))</f>
        <v>#VALUE!</v>
      </c>
      <c r="J127" s="25" t="e">
        <f ca="1">IF($G127="Всього:",SUM($J$4:J126),IF(I127-SUM(K127:L127)&lt;0,0,I127-SUM(K127:L127)))</f>
        <v>#VALUE!</v>
      </c>
      <c r="K127" s="25" t="e">
        <f ca="1">IF(G127="Всього:",SUM($K$5:K126),F127*O126/36000*(G127-G126))</f>
        <v>#VALUE!</v>
      </c>
      <c r="L127" s="25" t="e">
        <f ca="1">IF(G127="Всього:",SUM($L$5:L126),$E$4)</f>
        <v>#DIV/0!</v>
      </c>
      <c r="M127" s="25" t="e">
        <f ca="1">IF(G127="Всього:",SUM($M$5:M126),IF($E$5="UAH",J127+L127+K127,J127+K127))</f>
        <v>#VALUE!</v>
      </c>
      <c r="N127" s="27" t="str">
        <f ca="1">IF(G127="Всього:",SUM($N$4:N126),IF($E$5="UAH","",L127))</f>
        <v/>
      </c>
      <c r="O127" s="25" t="e">
        <f t="shared" ca="1" si="8"/>
        <v>#DIV/0!</v>
      </c>
      <c r="P127" s="33">
        <f t="shared" ca="1" si="9"/>
        <v>49926</v>
      </c>
      <c r="Q127" s="8" t="e">
        <f t="shared" ca="1" si="12"/>
        <v>#VALUE!</v>
      </c>
    </row>
    <row r="128" spans="6:17" s="8" customFormat="1" ht="13.2" x14ac:dyDescent="0.25">
      <c r="F128" s="34" t="str">
        <f t="shared" ca="1" si="10"/>
        <v/>
      </c>
      <c r="G128" s="23">
        <f t="shared" ca="1" si="13"/>
        <v>49956</v>
      </c>
      <c r="H128" s="24" t="str">
        <f t="shared" si="11"/>
        <v/>
      </c>
      <c r="I128" s="25" t="e">
        <f ca="1">IF($G128="Всього:",SUM($I$4:I127),MAX($C$32,K128))</f>
        <v>#VALUE!</v>
      </c>
      <c r="J128" s="25" t="e">
        <f ca="1">IF($G128="Всього:",SUM($J$4:J127),IF(I128-SUM(K128:L128)&lt;0,0,I128-SUM(K128:L128)))</f>
        <v>#VALUE!</v>
      </c>
      <c r="K128" s="25" t="e">
        <f ca="1">IF(G128="Всього:",SUM($K$5:K127),F128*O127/36000*(G128-G127))</f>
        <v>#VALUE!</v>
      </c>
      <c r="L128" s="25" t="e">
        <f ca="1">IF(G128="Всього:",SUM($L$5:L127),$E$4)</f>
        <v>#DIV/0!</v>
      </c>
      <c r="M128" s="25" t="e">
        <f ca="1">IF(G128="Всього:",SUM($M$5:M127),IF($E$5="UAH",J128+L128+K128,J128+K128))</f>
        <v>#VALUE!</v>
      </c>
      <c r="N128" s="27" t="str">
        <f ca="1">IF(G128="Всього:",SUM($N$4:N127),IF($E$5="UAH","",L128))</f>
        <v/>
      </c>
      <c r="O128" s="25" t="e">
        <f t="shared" ca="1" si="8"/>
        <v>#DIV/0!</v>
      </c>
      <c r="P128" s="33">
        <f t="shared" ca="1" si="9"/>
        <v>49956</v>
      </c>
      <c r="Q128" s="8" t="e">
        <f t="shared" ca="1" si="12"/>
        <v>#VALUE!</v>
      </c>
    </row>
    <row r="129" spans="6:17" s="8" customFormat="1" ht="13.2" x14ac:dyDescent="0.25">
      <c r="F129" s="34" t="str">
        <f t="shared" ca="1" si="10"/>
        <v/>
      </c>
      <c r="G129" s="23">
        <f t="shared" ca="1" si="13"/>
        <v>49987</v>
      </c>
      <c r="H129" s="24" t="str">
        <f t="shared" si="11"/>
        <v/>
      </c>
      <c r="I129" s="25" t="e">
        <f ca="1">IF($G129="Всього:",SUM($I$4:I128),MAX($C$32,K129))</f>
        <v>#VALUE!</v>
      </c>
      <c r="J129" s="25" t="e">
        <f ca="1">IF($G129="Всього:",SUM($J$4:J128),IF(I129-SUM(K129:L129)&lt;0,0,I129-SUM(K129:L129)))</f>
        <v>#VALUE!</v>
      </c>
      <c r="K129" s="25" t="e">
        <f ca="1">IF(G129="Всього:",SUM($K$5:K128),F129*O128/36000*(G129-G128))</f>
        <v>#VALUE!</v>
      </c>
      <c r="L129" s="25" t="e">
        <f ca="1">IF(G129="Всього:",SUM($L$5:L128),$E$4)</f>
        <v>#DIV/0!</v>
      </c>
      <c r="M129" s="25" t="e">
        <f ca="1">IF(G129="Всього:",SUM($M$5:M128),IF($E$5="UAH",J129+L129+K129,J129+K129))</f>
        <v>#VALUE!</v>
      </c>
      <c r="N129" s="27" t="str">
        <f ca="1">IF(G129="Всього:",SUM($N$4:N128),IF($E$5="UAH","",L129))</f>
        <v/>
      </c>
      <c r="O129" s="25" t="e">
        <f t="shared" ca="1" si="8"/>
        <v>#DIV/0!</v>
      </c>
      <c r="P129" s="33">
        <f t="shared" ca="1" si="9"/>
        <v>49987</v>
      </c>
      <c r="Q129" s="8" t="e">
        <f t="shared" ca="1" si="12"/>
        <v>#VALUE!</v>
      </c>
    </row>
    <row r="130" spans="6:17" s="8" customFormat="1" ht="13.2" x14ac:dyDescent="0.25">
      <c r="F130" s="34" t="str">
        <f t="shared" ca="1" si="10"/>
        <v/>
      </c>
      <c r="G130" s="23">
        <f t="shared" ca="1" si="13"/>
        <v>50017</v>
      </c>
      <c r="H130" s="24" t="str">
        <f t="shared" si="11"/>
        <v/>
      </c>
      <c r="I130" s="25" t="e">
        <f ca="1">IF($G130="Всього:",SUM($I$4:I129),MAX($C$32,K130))</f>
        <v>#VALUE!</v>
      </c>
      <c r="J130" s="25" t="e">
        <f ca="1">IF($G130="Всього:",SUM($J$4:J129),IF(I130-SUM(K130:L130)&lt;0,0,I130-SUM(K130:L130)))</f>
        <v>#VALUE!</v>
      </c>
      <c r="K130" s="25" t="e">
        <f ca="1">IF(G130="Всього:",SUM($K$5:K129),F130*O129/36000*(G130-G129))</f>
        <v>#VALUE!</v>
      </c>
      <c r="L130" s="25" t="e">
        <f ca="1">IF(G130="Всього:",SUM($L$5:L129),$E$4)</f>
        <v>#DIV/0!</v>
      </c>
      <c r="M130" s="25" t="e">
        <f ca="1">IF(G130="Всього:",SUM($M$5:M129),IF($E$5="UAH",J130+L130+K130,J130+K130))</f>
        <v>#VALUE!</v>
      </c>
      <c r="N130" s="27" t="str">
        <f ca="1">IF(G130="Всього:",SUM($N$4:N129),IF($E$5="UAH","",L130))</f>
        <v/>
      </c>
      <c r="O130" s="25" t="e">
        <f t="shared" ca="1" si="8"/>
        <v>#DIV/0!</v>
      </c>
      <c r="P130" s="33">
        <f t="shared" ca="1" si="9"/>
        <v>50017</v>
      </c>
      <c r="Q130" s="8" t="e">
        <f t="shared" ca="1" si="12"/>
        <v>#VALUE!</v>
      </c>
    </row>
    <row r="131" spans="6:17" s="8" customFormat="1" ht="13.2" x14ac:dyDescent="0.25">
      <c r="F131" s="34" t="str">
        <f t="shared" ca="1" si="10"/>
        <v/>
      </c>
      <c r="G131" s="23">
        <f t="shared" ca="1" si="13"/>
        <v>50048</v>
      </c>
      <c r="H131" s="24" t="str">
        <f t="shared" si="11"/>
        <v/>
      </c>
      <c r="I131" s="25" t="e">
        <f ca="1">IF($G131="Всього:",SUM($I$4:I130),MAX($C$32,K131))</f>
        <v>#VALUE!</v>
      </c>
      <c r="J131" s="25" t="e">
        <f ca="1">IF($G131="Всього:",SUM($J$4:J130),IF(I131-SUM(K131:L131)&lt;0,0,I131-SUM(K131:L131)))</f>
        <v>#VALUE!</v>
      </c>
      <c r="K131" s="25" t="e">
        <f ca="1">IF(G131="Всього:",SUM($K$5:K130),F131*O130/36000*(G131-G130))</f>
        <v>#VALUE!</v>
      </c>
      <c r="L131" s="25" t="e">
        <f ca="1">IF(G131="Всього:",SUM($L$5:L130),$E$4)</f>
        <v>#DIV/0!</v>
      </c>
      <c r="M131" s="25" t="e">
        <f ca="1">IF(G131="Всього:",SUM($M$5:M130),IF($E$5="UAH",J131+L131+K131,J131+K131))</f>
        <v>#VALUE!</v>
      </c>
      <c r="N131" s="27" t="str">
        <f ca="1">IF(G131="Всього:",SUM($N$4:N130),IF($E$5="UAH","",L131))</f>
        <v/>
      </c>
      <c r="O131" s="25" t="e">
        <f t="shared" ca="1" si="8"/>
        <v>#DIV/0!</v>
      </c>
      <c r="P131" s="33">
        <f t="shared" ca="1" si="9"/>
        <v>50048</v>
      </c>
      <c r="Q131" s="8" t="e">
        <f t="shared" ca="1" si="12"/>
        <v>#VALUE!</v>
      </c>
    </row>
    <row r="132" spans="6:17" s="8" customFormat="1" ht="13.2" x14ac:dyDescent="0.25">
      <c r="F132" s="34" t="str">
        <f t="shared" ca="1" si="10"/>
        <v/>
      </c>
      <c r="G132" s="23">
        <f t="shared" ca="1" si="13"/>
        <v>50079</v>
      </c>
      <c r="H132" s="24" t="str">
        <f t="shared" si="11"/>
        <v/>
      </c>
      <c r="I132" s="25" t="e">
        <f ca="1">IF($G132="Всього:",SUM($I$4:I131),MAX($C$32,K132))</f>
        <v>#VALUE!</v>
      </c>
      <c r="J132" s="25" t="e">
        <f ca="1">IF($G132="Всього:",SUM($J$4:J131),IF(I132-SUM(K132:L132)&lt;0,0,I132-SUM(K132:L132)))</f>
        <v>#VALUE!</v>
      </c>
      <c r="K132" s="25" t="e">
        <f ca="1">IF(G132="Всього:",SUM($K$5:K131),F132*O131/36000*(G132-G131))</f>
        <v>#VALUE!</v>
      </c>
      <c r="L132" s="25" t="e">
        <f ca="1">IF(G132="Всього:",SUM($L$5:L131),$E$4)</f>
        <v>#DIV/0!</v>
      </c>
      <c r="M132" s="25" t="e">
        <f ca="1">IF(G132="Всього:",SUM($M$5:M131),IF($E$5="UAH",J132+L132+K132,J132+K132))</f>
        <v>#VALUE!</v>
      </c>
      <c r="N132" s="27" t="str">
        <f ca="1">IF(G132="Всього:",SUM($N$4:N131),IF($E$5="UAH","",L132))</f>
        <v/>
      </c>
      <c r="O132" s="25" t="e">
        <f t="shared" ca="1" si="8"/>
        <v>#DIV/0!</v>
      </c>
      <c r="P132" s="33">
        <f t="shared" ca="1" si="9"/>
        <v>50079</v>
      </c>
      <c r="Q132" s="8" t="e">
        <f t="shared" ca="1" si="12"/>
        <v>#VALUE!</v>
      </c>
    </row>
    <row r="133" spans="6:17" s="8" customFormat="1" ht="13.2" x14ac:dyDescent="0.25">
      <c r="F133" s="34" t="str">
        <f t="shared" ca="1" si="10"/>
        <v/>
      </c>
      <c r="G133" s="23">
        <f t="shared" ca="1" si="13"/>
        <v>50107</v>
      </c>
      <c r="H133" s="24" t="str">
        <f t="shared" si="11"/>
        <v/>
      </c>
      <c r="I133" s="25" t="e">
        <f ca="1">IF($G133="Всього:",SUM($I$4:I132),MAX($C$32,K133))</f>
        <v>#VALUE!</v>
      </c>
      <c r="J133" s="25" t="e">
        <f ca="1">IF($G133="Всього:",SUM($J$4:J132),IF(I133-SUM(K133:L133)&lt;0,0,I133-SUM(K133:L133)))</f>
        <v>#VALUE!</v>
      </c>
      <c r="K133" s="25" t="e">
        <f ca="1">IF(G133="Всього:",SUM($K$5:K132),F133*O132/36000*(G133-G132))</f>
        <v>#VALUE!</v>
      </c>
      <c r="L133" s="25" t="e">
        <f ca="1">IF(G133="Всього:",SUM($L$5:L132),$E$4)</f>
        <v>#DIV/0!</v>
      </c>
      <c r="M133" s="25" t="e">
        <f ca="1">IF(G133="Всього:",SUM($M$5:M132),IF($E$5="UAH",J133+L133+K133,J133+K133))</f>
        <v>#VALUE!</v>
      </c>
      <c r="N133" s="27" t="str">
        <f ca="1">IF(G133="Всього:",SUM($N$4:N132),IF($E$5="UAH","",L133))</f>
        <v/>
      </c>
      <c r="O133" s="25" t="e">
        <f t="shared" ref="O133:O196" ca="1" si="14">O132-J133</f>
        <v>#DIV/0!</v>
      </c>
      <c r="P133" s="33">
        <f t="shared" ref="P133:P196" ca="1" si="15">G133</f>
        <v>50107</v>
      </c>
      <c r="Q133" s="8" t="e">
        <f t="shared" ca="1" si="12"/>
        <v>#VALUE!</v>
      </c>
    </row>
    <row r="134" spans="6:17" s="8" customFormat="1" ht="13.2" x14ac:dyDescent="0.25">
      <c r="F134" s="34" t="str">
        <f t="shared" ref="F134:F197" ca="1" si="16">IF(G134="Всього:","",IF(AND(G134&gt;$B$9,G134&lt;=$B$10),$C$16,IF(AND(G134&gt;$B$9,G134&lt;=$B$11),$D$16,IF(AND(G134&gt;$B$10,G134&lt;=$B$14),$E$16,$B$16))))</f>
        <v/>
      </c>
      <c r="G134" s="23">
        <f t="shared" ca="1" si="13"/>
        <v>50138</v>
      </c>
      <c r="H134" s="24" t="str">
        <f t="shared" ref="H134:H197" si="17">IF(H133&gt;$E$8,"",H133+1)</f>
        <v/>
      </c>
      <c r="I134" s="25" t="e">
        <f ca="1">IF($G134="Всього:",SUM($I$4:I133),MAX($C$32,K134))</f>
        <v>#VALUE!</v>
      </c>
      <c r="J134" s="25" t="e">
        <f ca="1">IF($G134="Всього:",SUM($J$4:J133),IF(I134-SUM(K134:L134)&lt;0,0,I134-SUM(K134:L134)))</f>
        <v>#VALUE!</v>
      </c>
      <c r="K134" s="25" t="e">
        <f ca="1">IF(G134="Всього:",SUM($K$5:K133),F134*O133/36000*(G134-G133))</f>
        <v>#VALUE!</v>
      </c>
      <c r="L134" s="25" t="e">
        <f ca="1">IF(G134="Всього:",SUM($L$5:L133),$E$4)</f>
        <v>#DIV/0!</v>
      </c>
      <c r="M134" s="25" t="e">
        <f ca="1">IF(G134="Всього:",SUM($M$5:M133),IF($E$5="UAH",J134+L134+K134,J134+K134))</f>
        <v>#VALUE!</v>
      </c>
      <c r="N134" s="27" t="str">
        <f ca="1">IF(G134="Всього:",SUM($N$4:N133),IF($E$5="UAH","",L134))</f>
        <v/>
      </c>
      <c r="O134" s="25" t="e">
        <f t="shared" ca="1" si="14"/>
        <v>#DIV/0!</v>
      </c>
      <c r="P134" s="33">
        <f t="shared" ca="1" si="15"/>
        <v>50138</v>
      </c>
      <c r="Q134" s="8" t="e">
        <f t="shared" ref="Q134:Q159" ca="1" si="18">IF(R135="",I134,IFERROR(I134+R135,0))</f>
        <v>#VALUE!</v>
      </c>
    </row>
    <row r="135" spans="6:17" s="8" customFormat="1" ht="13.2" x14ac:dyDescent="0.25">
      <c r="F135" s="34" t="str">
        <f t="shared" ca="1" si="16"/>
        <v/>
      </c>
      <c r="G135" s="23">
        <f t="shared" ref="G135:G198" ca="1" si="19">IF(H134=$E$3,"Всього:",IF($E$3=H135,$B$14,DATE(YEAR(G134),MONTH(G134)+1,IF($B$7&lt;&gt;"",DAY(IF($B$7&gt;DAY(EOMONTH(G134,1)),EOMONTH(G134,1),$B$7)),DAY(1)))))</f>
        <v>50168</v>
      </c>
      <c r="H135" s="24" t="str">
        <f t="shared" si="17"/>
        <v/>
      </c>
      <c r="I135" s="25" t="e">
        <f ca="1">IF($G135="Всього:",SUM($I$4:I134),MAX($C$32,K135))</f>
        <v>#VALUE!</v>
      </c>
      <c r="J135" s="25" t="e">
        <f ca="1">IF($G135="Всього:",SUM($J$4:J134),IF(I135-SUM(K135:L135)&lt;0,0,I135-SUM(K135:L135)))</f>
        <v>#VALUE!</v>
      </c>
      <c r="K135" s="25" t="e">
        <f ca="1">IF(G135="Всього:",SUM($K$5:K134),F135*O134/36000*(G135-G134))</f>
        <v>#VALUE!</v>
      </c>
      <c r="L135" s="25" t="e">
        <f ca="1">IF(G135="Всього:",SUM($L$5:L134),$E$4)</f>
        <v>#DIV/0!</v>
      </c>
      <c r="M135" s="25" t="e">
        <f ca="1">IF(G135="Всього:",SUM($M$5:M134),IF($E$5="UAH",J135+L135+K135,J135+K135))</f>
        <v>#VALUE!</v>
      </c>
      <c r="N135" s="27" t="str">
        <f ca="1">IF(G135="Всього:",SUM($N$4:N134),IF($E$5="UAH","",L135))</f>
        <v/>
      </c>
      <c r="O135" s="25" t="e">
        <f t="shared" ca="1" si="14"/>
        <v>#DIV/0!</v>
      </c>
      <c r="P135" s="33">
        <f t="shared" ca="1" si="15"/>
        <v>50168</v>
      </c>
      <c r="Q135" s="8" t="e">
        <f t="shared" ca="1" si="18"/>
        <v>#VALUE!</v>
      </c>
    </row>
    <row r="136" spans="6:17" s="8" customFormat="1" ht="13.2" x14ac:dyDescent="0.25">
      <c r="F136" s="34" t="str">
        <f t="shared" ca="1" si="16"/>
        <v/>
      </c>
      <c r="G136" s="23">
        <f t="shared" ca="1" si="19"/>
        <v>50199</v>
      </c>
      <c r="H136" s="24" t="str">
        <f t="shared" si="17"/>
        <v/>
      </c>
      <c r="I136" s="25" t="e">
        <f ca="1">IF($G136="Всього:",SUM($I$4:I135),MAX($C$32,K136))</f>
        <v>#VALUE!</v>
      </c>
      <c r="J136" s="25" t="e">
        <f ca="1">IF($G136="Всього:",SUM($J$4:J135),IF(I136-SUM(K136:L136)&lt;0,0,I136-SUM(K136:L136)))</f>
        <v>#VALUE!</v>
      </c>
      <c r="K136" s="25" t="e">
        <f ca="1">IF(G136="Всього:",SUM($K$5:K135),F136*O135/36000*(G136-G135))</f>
        <v>#VALUE!</v>
      </c>
      <c r="L136" s="25" t="e">
        <f ca="1">IF(G136="Всього:",SUM($L$5:L135),$E$4)</f>
        <v>#DIV/0!</v>
      </c>
      <c r="M136" s="25" t="e">
        <f ca="1">IF(G136="Всього:",SUM($M$5:M135),IF($E$5="UAH",J136+L136+K136,J136+K136))</f>
        <v>#VALUE!</v>
      </c>
      <c r="N136" s="27" t="str">
        <f ca="1">IF(G136="Всього:",SUM($N$4:N135),IF($E$5="UAH","",L136))</f>
        <v/>
      </c>
      <c r="O136" s="25" t="e">
        <f t="shared" ca="1" si="14"/>
        <v>#DIV/0!</v>
      </c>
      <c r="P136" s="33">
        <f t="shared" ca="1" si="15"/>
        <v>50199</v>
      </c>
      <c r="Q136" s="8" t="e">
        <f t="shared" ca="1" si="18"/>
        <v>#VALUE!</v>
      </c>
    </row>
    <row r="137" spans="6:17" s="8" customFormat="1" ht="13.2" x14ac:dyDescent="0.25">
      <c r="F137" s="34" t="str">
        <f t="shared" ca="1" si="16"/>
        <v/>
      </c>
      <c r="G137" s="23">
        <f t="shared" ca="1" si="19"/>
        <v>50229</v>
      </c>
      <c r="H137" s="24" t="str">
        <f t="shared" si="17"/>
        <v/>
      </c>
      <c r="I137" s="25" t="e">
        <f ca="1">IF($G137="Всього:",SUM($I$4:I136),MAX($C$32,K137))</f>
        <v>#VALUE!</v>
      </c>
      <c r="J137" s="25" t="e">
        <f ca="1">IF($G137="Всього:",SUM($J$4:J136),IF(I137-SUM(K137:L137)&lt;0,0,I137-SUM(K137:L137)))</f>
        <v>#VALUE!</v>
      </c>
      <c r="K137" s="25" t="e">
        <f ca="1">IF(G137="Всього:",SUM($K$5:K136),F137*O136/36000*(G137-G136))</f>
        <v>#VALUE!</v>
      </c>
      <c r="L137" s="25" t="e">
        <f ca="1">IF(G137="Всього:",SUM($L$5:L136),$E$4)</f>
        <v>#DIV/0!</v>
      </c>
      <c r="M137" s="25" t="e">
        <f ca="1">IF(G137="Всього:",SUM($M$5:M136),IF($E$5="UAH",J137+L137+K137,J137+K137))</f>
        <v>#VALUE!</v>
      </c>
      <c r="N137" s="27" t="str">
        <f ca="1">IF(G137="Всього:",SUM($N$4:N136),IF($E$5="UAH","",L137))</f>
        <v/>
      </c>
      <c r="O137" s="25" t="e">
        <f t="shared" ca="1" si="14"/>
        <v>#DIV/0!</v>
      </c>
      <c r="P137" s="33">
        <f t="shared" ca="1" si="15"/>
        <v>50229</v>
      </c>
      <c r="Q137" s="8" t="e">
        <f t="shared" ca="1" si="18"/>
        <v>#VALUE!</v>
      </c>
    </row>
    <row r="138" spans="6:17" s="8" customFormat="1" ht="13.2" x14ac:dyDescent="0.25">
      <c r="F138" s="34" t="str">
        <f t="shared" ca="1" si="16"/>
        <v/>
      </c>
      <c r="G138" s="23">
        <f t="shared" ca="1" si="19"/>
        <v>50260</v>
      </c>
      <c r="H138" s="24" t="str">
        <f t="shared" si="17"/>
        <v/>
      </c>
      <c r="I138" s="25" t="e">
        <f ca="1">IF($G138="Всього:",SUM($I$4:I137),MAX($C$32,K138))</f>
        <v>#VALUE!</v>
      </c>
      <c r="J138" s="25" t="e">
        <f ca="1">IF($G138="Всього:",SUM($J$4:J137),IF(I138-SUM(K138:L138)&lt;0,0,I138-SUM(K138:L138)))</f>
        <v>#VALUE!</v>
      </c>
      <c r="K138" s="25" t="e">
        <f ca="1">IF(G138="Всього:",SUM($K$5:K137),F138*O137/36000*(G138-G137))</f>
        <v>#VALUE!</v>
      </c>
      <c r="L138" s="25" t="e">
        <f ca="1">IF(G138="Всього:",SUM($L$5:L137),$E$4)</f>
        <v>#DIV/0!</v>
      </c>
      <c r="M138" s="25" t="e">
        <f ca="1">IF(G138="Всього:",SUM($M$5:M137),IF($E$5="UAH",J138+L138+K138,J138+K138))</f>
        <v>#VALUE!</v>
      </c>
      <c r="N138" s="27" t="str">
        <f ca="1">IF(G138="Всього:",SUM($N$4:N137),IF($E$5="UAH","",L138))</f>
        <v/>
      </c>
      <c r="O138" s="25" t="e">
        <f t="shared" ca="1" si="14"/>
        <v>#DIV/0!</v>
      </c>
      <c r="P138" s="33">
        <f t="shared" ca="1" si="15"/>
        <v>50260</v>
      </c>
      <c r="Q138" s="8" t="e">
        <f t="shared" ca="1" si="18"/>
        <v>#VALUE!</v>
      </c>
    </row>
    <row r="139" spans="6:17" s="8" customFormat="1" ht="13.2" x14ac:dyDescent="0.25">
      <c r="F139" s="34" t="str">
        <f t="shared" ca="1" si="16"/>
        <v/>
      </c>
      <c r="G139" s="23">
        <f t="shared" ca="1" si="19"/>
        <v>50291</v>
      </c>
      <c r="H139" s="24" t="str">
        <f t="shared" si="17"/>
        <v/>
      </c>
      <c r="I139" s="25" t="e">
        <f ca="1">IF($G139="Всього:",SUM($I$4:I138),MAX($C$32,K139))</f>
        <v>#VALUE!</v>
      </c>
      <c r="J139" s="25" t="e">
        <f ca="1">IF($G139="Всього:",SUM($J$4:J138),IF(I139-SUM(K139:L139)&lt;0,0,I139-SUM(K139:L139)))</f>
        <v>#VALUE!</v>
      </c>
      <c r="K139" s="25" t="e">
        <f ca="1">IF(G139="Всього:",SUM($K$5:K138),F139*O138/36000*(G139-G138))</f>
        <v>#VALUE!</v>
      </c>
      <c r="L139" s="25" t="e">
        <f ca="1">IF(G139="Всього:",SUM($L$5:L138),$E$4)</f>
        <v>#DIV/0!</v>
      </c>
      <c r="M139" s="25" t="e">
        <f ca="1">IF(G139="Всього:",SUM($M$5:M138),IF($E$5="UAH",J139+L139+K139,J139+K139))</f>
        <v>#VALUE!</v>
      </c>
      <c r="N139" s="27" t="str">
        <f ca="1">IF(G139="Всього:",SUM($N$4:N138),IF($E$5="UAH","",L139))</f>
        <v/>
      </c>
      <c r="O139" s="25" t="e">
        <f t="shared" ca="1" si="14"/>
        <v>#DIV/0!</v>
      </c>
      <c r="P139" s="33">
        <f t="shared" ca="1" si="15"/>
        <v>50291</v>
      </c>
      <c r="Q139" s="8" t="e">
        <f t="shared" ca="1" si="18"/>
        <v>#VALUE!</v>
      </c>
    </row>
    <row r="140" spans="6:17" s="8" customFormat="1" ht="13.2" x14ac:dyDescent="0.25">
      <c r="F140" s="34" t="str">
        <f t="shared" ca="1" si="16"/>
        <v/>
      </c>
      <c r="G140" s="23">
        <f t="shared" ca="1" si="19"/>
        <v>50321</v>
      </c>
      <c r="H140" s="24" t="str">
        <f t="shared" si="17"/>
        <v/>
      </c>
      <c r="I140" s="25" t="e">
        <f ca="1">IF($G140="Всього:",SUM($I$4:I139),MAX($C$32,K140))</f>
        <v>#VALUE!</v>
      </c>
      <c r="J140" s="25" t="e">
        <f ca="1">IF($G140="Всього:",SUM($J$4:J139),IF(I140-SUM(K140:L140)&lt;0,0,I140-SUM(K140:L140)))</f>
        <v>#VALUE!</v>
      </c>
      <c r="K140" s="25" t="e">
        <f ca="1">IF(G140="Всього:",SUM($K$5:K139),F140*O139/36000*(G140-G139))</f>
        <v>#VALUE!</v>
      </c>
      <c r="L140" s="25" t="e">
        <f ca="1">IF(G140="Всього:",SUM($L$5:L139),$E$4)</f>
        <v>#DIV/0!</v>
      </c>
      <c r="M140" s="25" t="e">
        <f ca="1">IF(G140="Всього:",SUM($M$5:M139),IF($E$5="UAH",J140+L140+K140,J140+K140))</f>
        <v>#VALUE!</v>
      </c>
      <c r="N140" s="27" t="str">
        <f ca="1">IF(G140="Всього:",SUM($N$4:N139),IF($E$5="UAH","",L140))</f>
        <v/>
      </c>
      <c r="O140" s="25" t="e">
        <f t="shared" ca="1" si="14"/>
        <v>#DIV/0!</v>
      </c>
      <c r="P140" s="33">
        <f t="shared" ca="1" si="15"/>
        <v>50321</v>
      </c>
      <c r="Q140" s="8" t="e">
        <f t="shared" ca="1" si="18"/>
        <v>#VALUE!</v>
      </c>
    </row>
    <row r="141" spans="6:17" s="8" customFormat="1" ht="13.2" x14ac:dyDescent="0.25">
      <c r="F141" s="34" t="str">
        <f t="shared" ca="1" si="16"/>
        <v/>
      </c>
      <c r="G141" s="23">
        <f t="shared" ca="1" si="19"/>
        <v>50352</v>
      </c>
      <c r="H141" s="24" t="str">
        <f t="shared" si="17"/>
        <v/>
      </c>
      <c r="I141" s="25" t="e">
        <f ca="1">IF($G141="Всього:",SUM($I$4:I140),MAX($C$32,K141))</f>
        <v>#VALUE!</v>
      </c>
      <c r="J141" s="25" t="e">
        <f ca="1">IF($G141="Всього:",SUM($J$4:J140),IF(I141-SUM(K141:L141)&lt;0,0,I141-SUM(K141:L141)))</f>
        <v>#VALUE!</v>
      </c>
      <c r="K141" s="25" t="e">
        <f ca="1">IF(G141="Всього:",SUM($K$5:K140),F141*O140/36000*(G141-G140))</f>
        <v>#VALUE!</v>
      </c>
      <c r="L141" s="25" t="e">
        <f ca="1">IF(G141="Всього:",SUM($L$5:L140),$E$4)</f>
        <v>#DIV/0!</v>
      </c>
      <c r="M141" s="25" t="e">
        <f ca="1">IF(G141="Всього:",SUM($M$5:M140),IF($E$5="UAH",J141+L141+K141,J141+K141))</f>
        <v>#VALUE!</v>
      </c>
      <c r="N141" s="27" t="str">
        <f ca="1">IF(G141="Всього:",SUM($N$4:N140),IF($E$5="UAH","",L141))</f>
        <v/>
      </c>
      <c r="O141" s="25" t="e">
        <f t="shared" ca="1" si="14"/>
        <v>#DIV/0!</v>
      </c>
      <c r="P141" s="33">
        <f t="shared" ca="1" si="15"/>
        <v>50352</v>
      </c>
      <c r="Q141" s="8" t="e">
        <f t="shared" ca="1" si="18"/>
        <v>#VALUE!</v>
      </c>
    </row>
    <row r="142" spans="6:17" s="8" customFormat="1" ht="13.2" x14ac:dyDescent="0.25">
      <c r="F142" s="34" t="str">
        <f t="shared" ca="1" si="16"/>
        <v/>
      </c>
      <c r="G142" s="23">
        <f t="shared" ca="1" si="19"/>
        <v>50382</v>
      </c>
      <c r="H142" s="24" t="str">
        <f t="shared" si="17"/>
        <v/>
      </c>
      <c r="I142" s="25" t="e">
        <f ca="1">IF($G142="Всього:",SUM($I$4:I141),MAX($C$32,K142))</f>
        <v>#VALUE!</v>
      </c>
      <c r="J142" s="25" t="e">
        <f ca="1">IF($G142="Всього:",SUM($J$4:J141),IF(I142-SUM(K142:L142)&lt;0,0,I142-SUM(K142:L142)))</f>
        <v>#VALUE!</v>
      </c>
      <c r="K142" s="25" t="e">
        <f ca="1">IF(G142="Всього:",SUM($K$5:K141),F142*O141/36000*(G142-G141))</f>
        <v>#VALUE!</v>
      </c>
      <c r="L142" s="25" t="e">
        <f ca="1">IF(G142="Всього:",SUM($L$5:L141),$E$4)</f>
        <v>#DIV/0!</v>
      </c>
      <c r="M142" s="25" t="e">
        <f ca="1">IF(G142="Всього:",SUM($M$5:M141),IF($E$5="UAH",J142+L142+K142,J142+K142))</f>
        <v>#VALUE!</v>
      </c>
      <c r="N142" s="27" t="str">
        <f ca="1">IF(G142="Всього:",SUM($N$4:N141),IF($E$5="UAH","",L142))</f>
        <v/>
      </c>
      <c r="O142" s="25" t="e">
        <f t="shared" ca="1" si="14"/>
        <v>#DIV/0!</v>
      </c>
      <c r="P142" s="33">
        <f t="shared" ca="1" si="15"/>
        <v>50382</v>
      </c>
      <c r="Q142" s="8" t="e">
        <f t="shared" ca="1" si="18"/>
        <v>#VALUE!</v>
      </c>
    </row>
    <row r="143" spans="6:17" s="8" customFormat="1" ht="13.2" x14ac:dyDescent="0.25">
      <c r="F143" s="34" t="str">
        <f t="shared" ca="1" si="16"/>
        <v/>
      </c>
      <c r="G143" s="23">
        <f t="shared" ca="1" si="19"/>
        <v>50413</v>
      </c>
      <c r="H143" s="24" t="str">
        <f t="shared" si="17"/>
        <v/>
      </c>
      <c r="I143" s="25" t="e">
        <f ca="1">IF($G143="Всього:",SUM($I$4:I142),MAX($C$32,K143))</f>
        <v>#VALUE!</v>
      </c>
      <c r="J143" s="25" t="e">
        <f ca="1">IF($G143="Всього:",SUM($J$4:J142),IF(I143-SUM(K143:L143)&lt;0,0,I143-SUM(K143:L143)))</f>
        <v>#VALUE!</v>
      </c>
      <c r="K143" s="25" t="e">
        <f ca="1">IF(G143="Всього:",SUM($K$5:K142),F143*O142/36000*(G143-G142))</f>
        <v>#VALUE!</v>
      </c>
      <c r="L143" s="25" t="e">
        <f ca="1">IF(G143="Всього:",SUM($L$5:L142),$E$4)</f>
        <v>#DIV/0!</v>
      </c>
      <c r="M143" s="25" t="e">
        <f ca="1">IF(G143="Всього:",SUM($M$5:M142),IF($E$5="UAH",J143+L143+K143,J143+K143))</f>
        <v>#VALUE!</v>
      </c>
      <c r="N143" s="27" t="str">
        <f ca="1">IF(G143="Всього:",SUM($N$4:N142),IF($E$5="UAH","",L143))</f>
        <v/>
      </c>
      <c r="O143" s="25" t="e">
        <f t="shared" ca="1" si="14"/>
        <v>#DIV/0!</v>
      </c>
      <c r="P143" s="33">
        <f t="shared" ca="1" si="15"/>
        <v>50413</v>
      </c>
      <c r="Q143" s="8" t="e">
        <f t="shared" ca="1" si="18"/>
        <v>#VALUE!</v>
      </c>
    </row>
    <row r="144" spans="6:17" s="8" customFormat="1" ht="13.2" x14ac:dyDescent="0.25">
      <c r="F144" s="34" t="str">
        <f t="shared" ca="1" si="16"/>
        <v/>
      </c>
      <c r="G144" s="23">
        <f t="shared" ca="1" si="19"/>
        <v>50444</v>
      </c>
      <c r="H144" s="24" t="str">
        <f t="shared" si="17"/>
        <v/>
      </c>
      <c r="I144" s="25" t="e">
        <f ca="1">IF($G144="Всього:",SUM($I$4:I143),MAX($C$32,K144))</f>
        <v>#VALUE!</v>
      </c>
      <c r="J144" s="25" t="e">
        <f ca="1">IF($G144="Всього:",SUM($J$4:J143),IF(I144-SUM(K144:L144)&lt;0,0,I144-SUM(K144:L144)))</f>
        <v>#VALUE!</v>
      </c>
      <c r="K144" s="25" t="e">
        <f ca="1">IF(G144="Всього:",SUM($K$5:K143),F144*O143/36000*(G144-G143))</f>
        <v>#VALUE!</v>
      </c>
      <c r="L144" s="25" t="e">
        <f ca="1">IF(G144="Всього:",SUM($L$5:L143),$E$4)</f>
        <v>#DIV/0!</v>
      </c>
      <c r="M144" s="25" t="e">
        <f ca="1">IF(G144="Всього:",SUM($M$5:M143),IF($E$5="UAH",J144+L144+K144,J144+K144))</f>
        <v>#VALUE!</v>
      </c>
      <c r="N144" s="27" t="str">
        <f ca="1">IF(G144="Всього:",SUM($N$4:N143),IF($E$5="UAH","",L144))</f>
        <v/>
      </c>
      <c r="O144" s="25" t="e">
        <f t="shared" ca="1" si="14"/>
        <v>#DIV/0!</v>
      </c>
      <c r="P144" s="33">
        <f t="shared" ca="1" si="15"/>
        <v>50444</v>
      </c>
      <c r="Q144" s="8" t="e">
        <f t="shared" ca="1" si="18"/>
        <v>#VALUE!</v>
      </c>
    </row>
    <row r="145" spans="6:17" s="8" customFormat="1" ht="13.2" x14ac:dyDescent="0.25">
      <c r="F145" s="34" t="str">
        <f t="shared" ca="1" si="16"/>
        <v/>
      </c>
      <c r="G145" s="23">
        <f t="shared" ca="1" si="19"/>
        <v>50472</v>
      </c>
      <c r="H145" s="24" t="str">
        <f t="shared" si="17"/>
        <v/>
      </c>
      <c r="I145" s="25" t="e">
        <f ca="1">IF($G145="Всього:",SUM($I$4:I144),MAX($C$32,K145))</f>
        <v>#VALUE!</v>
      </c>
      <c r="J145" s="25" t="e">
        <f ca="1">IF($G145="Всього:",SUM($J$4:J144),IF(I145-SUM(K145:L145)&lt;0,0,I145-SUM(K145:L145)))</f>
        <v>#VALUE!</v>
      </c>
      <c r="K145" s="25" t="e">
        <f ca="1">IF(G145="Всього:",SUM($K$5:K144),F145*O144/36000*(G145-G144))</f>
        <v>#VALUE!</v>
      </c>
      <c r="L145" s="25" t="e">
        <f ca="1">IF(G145="Всього:",SUM($L$5:L144),$E$4)</f>
        <v>#DIV/0!</v>
      </c>
      <c r="M145" s="25" t="e">
        <f ca="1">IF(G145="Всього:",SUM($M$5:M144),IF($E$5="UAH",J145+L145+K145,J145+K145))</f>
        <v>#VALUE!</v>
      </c>
      <c r="N145" s="27" t="str">
        <f ca="1">IF(G145="Всього:",SUM($N$4:N144),IF($E$5="UAH","",L145))</f>
        <v/>
      </c>
      <c r="O145" s="25" t="e">
        <f t="shared" ca="1" si="14"/>
        <v>#DIV/0!</v>
      </c>
      <c r="P145" s="33">
        <f t="shared" ca="1" si="15"/>
        <v>50472</v>
      </c>
      <c r="Q145" s="8" t="e">
        <f t="shared" ca="1" si="18"/>
        <v>#VALUE!</v>
      </c>
    </row>
    <row r="146" spans="6:17" s="8" customFormat="1" ht="13.2" x14ac:dyDescent="0.25">
      <c r="F146" s="34" t="str">
        <f t="shared" ca="1" si="16"/>
        <v/>
      </c>
      <c r="G146" s="23">
        <f t="shared" ca="1" si="19"/>
        <v>50503</v>
      </c>
      <c r="H146" s="24" t="str">
        <f t="shared" si="17"/>
        <v/>
      </c>
      <c r="I146" s="25" t="e">
        <f ca="1">IF($G146="Всього:",SUM($I$4:I145),MAX($C$32,K146))</f>
        <v>#VALUE!</v>
      </c>
      <c r="J146" s="25" t="e">
        <f ca="1">IF($G146="Всього:",SUM($J$4:J145),IF(I146-SUM(K146:L146)&lt;0,0,I146-SUM(K146:L146)))</f>
        <v>#VALUE!</v>
      </c>
      <c r="K146" s="25" t="e">
        <f ca="1">IF(G146="Всього:",SUM($K$5:K145),F146*O145/36000*(G146-G145))</f>
        <v>#VALUE!</v>
      </c>
      <c r="L146" s="25" t="e">
        <f ca="1">IF(G146="Всього:",SUM($L$5:L145),$E$4)</f>
        <v>#DIV/0!</v>
      </c>
      <c r="M146" s="25" t="e">
        <f ca="1">IF(G146="Всього:",SUM($M$5:M145),IF($E$5="UAH",J146+L146+K146,J146+K146))</f>
        <v>#VALUE!</v>
      </c>
      <c r="N146" s="27" t="str">
        <f ca="1">IF(G146="Всього:",SUM($N$4:N145),IF($E$5="UAH","",L146))</f>
        <v/>
      </c>
      <c r="O146" s="25" t="e">
        <f t="shared" ca="1" si="14"/>
        <v>#DIV/0!</v>
      </c>
      <c r="P146" s="33">
        <f t="shared" ca="1" si="15"/>
        <v>50503</v>
      </c>
      <c r="Q146" s="8" t="e">
        <f t="shared" ca="1" si="18"/>
        <v>#VALUE!</v>
      </c>
    </row>
    <row r="147" spans="6:17" s="8" customFormat="1" ht="13.2" x14ac:dyDescent="0.25">
      <c r="F147" s="34" t="str">
        <f t="shared" ca="1" si="16"/>
        <v/>
      </c>
      <c r="G147" s="23">
        <f t="shared" ca="1" si="19"/>
        <v>50533</v>
      </c>
      <c r="H147" s="24" t="str">
        <f t="shared" si="17"/>
        <v/>
      </c>
      <c r="I147" s="25" t="e">
        <f ca="1">IF($G147="Всього:",SUM($I$4:I146),MAX($C$32,K147))</f>
        <v>#VALUE!</v>
      </c>
      <c r="J147" s="25" t="e">
        <f ca="1">IF($G147="Всього:",SUM($J$4:J146),IF(I147-SUM(K147:L147)&lt;0,0,I147-SUM(K147:L147)))</f>
        <v>#VALUE!</v>
      </c>
      <c r="K147" s="25" t="e">
        <f ca="1">IF(G147="Всього:",SUM($K$5:K146),F147*O146/36000*(G147-G146))</f>
        <v>#VALUE!</v>
      </c>
      <c r="L147" s="25" t="e">
        <f ca="1">IF(G147="Всього:",SUM($L$5:L146),$E$4)</f>
        <v>#DIV/0!</v>
      </c>
      <c r="M147" s="25" t="e">
        <f ca="1">IF(G147="Всього:",SUM($M$5:M146),IF($E$5="UAH",J147+L147+K147,J147+K147))</f>
        <v>#VALUE!</v>
      </c>
      <c r="N147" s="27" t="str">
        <f ca="1">IF(G147="Всього:",SUM($N$4:N146),IF($E$5="UAH","",L147))</f>
        <v/>
      </c>
      <c r="O147" s="25" t="e">
        <f t="shared" ca="1" si="14"/>
        <v>#DIV/0!</v>
      </c>
      <c r="P147" s="33">
        <f t="shared" ca="1" si="15"/>
        <v>50533</v>
      </c>
      <c r="Q147" s="8" t="e">
        <f t="shared" ca="1" si="18"/>
        <v>#VALUE!</v>
      </c>
    </row>
    <row r="148" spans="6:17" s="8" customFormat="1" ht="13.2" x14ac:dyDescent="0.25">
      <c r="F148" s="34" t="str">
        <f t="shared" ca="1" si="16"/>
        <v/>
      </c>
      <c r="G148" s="23">
        <f t="shared" ca="1" si="19"/>
        <v>50564</v>
      </c>
      <c r="H148" s="24" t="str">
        <f t="shared" si="17"/>
        <v/>
      </c>
      <c r="I148" s="25" t="e">
        <f ca="1">IF($G148="Всього:",SUM($I$4:I147),MAX($C$32,K148))</f>
        <v>#VALUE!</v>
      </c>
      <c r="J148" s="25" t="e">
        <f ca="1">IF($G148="Всього:",SUM($J$4:J147),IF(I148-SUM(K148:L148)&lt;0,0,I148-SUM(K148:L148)))</f>
        <v>#VALUE!</v>
      </c>
      <c r="K148" s="25" t="e">
        <f ca="1">IF(G148="Всього:",SUM($K$5:K147),F148*O147/36000*(G148-G147))</f>
        <v>#VALUE!</v>
      </c>
      <c r="L148" s="25" t="e">
        <f ca="1">IF(G148="Всього:",SUM($L$5:L147),$E$4)</f>
        <v>#DIV/0!</v>
      </c>
      <c r="M148" s="25" t="e">
        <f ca="1">IF(G148="Всього:",SUM($M$5:M147),IF($E$5="UAH",J148+L148+K148,J148+K148))</f>
        <v>#VALUE!</v>
      </c>
      <c r="N148" s="27" t="str">
        <f ca="1">IF(G148="Всього:",SUM($N$4:N147),IF($E$5="UAH","",L148))</f>
        <v/>
      </c>
      <c r="O148" s="25" t="e">
        <f t="shared" ca="1" si="14"/>
        <v>#DIV/0!</v>
      </c>
      <c r="P148" s="33">
        <f t="shared" ca="1" si="15"/>
        <v>50564</v>
      </c>
      <c r="Q148" s="8" t="e">
        <f t="shared" ca="1" si="18"/>
        <v>#VALUE!</v>
      </c>
    </row>
    <row r="149" spans="6:17" s="8" customFormat="1" ht="13.2" x14ac:dyDescent="0.25">
      <c r="F149" s="34" t="str">
        <f t="shared" ca="1" si="16"/>
        <v/>
      </c>
      <c r="G149" s="23">
        <f t="shared" ca="1" si="19"/>
        <v>50594</v>
      </c>
      <c r="H149" s="24" t="str">
        <f t="shared" si="17"/>
        <v/>
      </c>
      <c r="I149" s="25" t="e">
        <f ca="1">IF($G149="Всього:",SUM($I$4:I148),MAX($C$32,K149))</f>
        <v>#VALUE!</v>
      </c>
      <c r="J149" s="25" t="e">
        <f ca="1">IF($G149="Всього:",SUM($J$4:J148),IF(I149-SUM(K149:L149)&lt;0,0,I149-SUM(K149:L149)))</f>
        <v>#VALUE!</v>
      </c>
      <c r="K149" s="25" t="e">
        <f ca="1">IF(G149="Всього:",SUM($K$5:K148),F149*O148/36000*(G149-G148))</f>
        <v>#VALUE!</v>
      </c>
      <c r="L149" s="25" t="e">
        <f ca="1">IF(G149="Всього:",SUM($L$5:L148),$E$4)</f>
        <v>#DIV/0!</v>
      </c>
      <c r="M149" s="25" t="e">
        <f ca="1">IF(G149="Всього:",SUM($M$5:M148),IF($E$5="UAH",J149+L149+K149,J149+K149))</f>
        <v>#VALUE!</v>
      </c>
      <c r="N149" s="27" t="str">
        <f ca="1">IF(G149="Всього:",SUM($N$4:N148),IF($E$5="UAH","",L149))</f>
        <v/>
      </c>
      <c r="O149" s="25" t="e">
        <f t="shared" ca="1" si="14"/>
        <v>#DIV/0!</v>
      </c>
      <c r="P149" s="33">
        <f t="shared" ca="1" si="15"/>
        <v>50594</v>
      </c>
      <c r="Q149" s="8" t="e">
        <f t="shared" ca="1" si="18"/>
        <v>#VALUE!</v>
      </c>
    </row>
    <row r="150" spans="6:17" s="8" customFormat="1" ht="13.2" x14ac:dyDescent="0.25">
      <c r="F150" s="34" t="str">
        <f t="shared" ca="1" si="16"/>
        <v/>
      </c>
      <c r="G150" s="23">
        <f t="shared" ca="1" si="19"/>
        <v>50625</v>
      </c>
      <c r="H150" s="24" t="str">
        <f t="shared" si="17"/>
        <v/>
      </c>
      <c r="I150" s="25" t="e">
        <f ca="1">IF($G150="Всього:",SUM($I$4:I149),MAX($C$32,K150))</f>
        <v>#VALUE!</v>
      </c>
      <c r="J150" s="25" t="e">
        <f ca="1">IF($G150="Всього:",SUM($J$4:J149),IF(I150-SUM(K150:L150)&lt;0,0,I150-SUM(K150:L150)))</f>
        <v>#VALUE!</v>
      </c>
      <c r="K150" s="25" t="e">
        <f ca="1">IF(G150="Всього:",SUM($K$5:K149),F150*O149/36000*(G150-G149))</f>
        <v>#VALUE!</v>
      </c>
      <c r="L150" s="25" t="e">
        <f ca="1">IF(G150="Всього:",SUM($L$5:L149),$E$4)</f>
        <v>#DIV/0!</v>
      </c>
      <c r="M150" s="25" t="e">
        <f ca="1">IF(G150="Всього:",SUM($M$5:M149),IF($E$5="UAH",J150+L150+K150,J150+K150))</f>
        <v>#VALUE!</v>
      </c>
      <c r="N150" s="27" t="str">
        <f ca="1">IF(G150="Всього:",SUM($N$4:N149),IF($E$5="UAH","",L150))</f>
        <v/>
      </c>
      <c r="O150" s="25" t="e">
        <f t="shared" ca="1" si="14"/>
        <v>#DIV/0!</v>
      </c>
      <c r="P150" s="33">
        <f t="shared" ca="1" si="15"/>
        <v>50625</v>
      </c>
      <c r="Q150" s="8" t="e">
        <f t="shared" ca="1" si="18"/>
        <v>#VALUE!</v>
      </c>
    </row>
    <row r="151" spans="6:17" s="8" customFormat="1" ht="13.2" x14ac:dyDescent="0.25">
      <c r="F151" s="34" t="str">
        <f t="shared" ca="1" si="16"/>
        <v/>
      </c>
      <c r="G151" s="23">
        <f t="shared" ca="1" si="19"/>
        <v>50656</v>
      </c>
      <c r="H151" s="24" t="str">
        <f t="shared" si="17"/>
        <v/>
      </c>
      <c r="I151" s="25" t="e">
        <f ca="1">IF($G151="Всього:",SUM($I$4:I150),MAX($C$32,K151))</f>
        <v>#VALUE!</v>
      </c>
      <c r="J151" s="25" t="e">
        <f ca="1">IF($G151="Всього:",SUM($J$4:J150),IF(I151-SUM(K151:L151)&lt;0,0,I151-SUM(K151:L151)))</f>
        <v>#VALUE!</v>
      </c>
      <c r="K151" s="25" t="e">
        <f ca="1">IF(G151="Всього:",SUM($K$5:K150),F151*O150/36000*(G151-G150))</f>
        <v>#VALUE!</v>
      </c>
      <c r="L151" s="25" t="e">
        <f ca="1">IF(G151="Всього:",SUM($L$5:L150),$E$4)</f>
        <v>#DIV/0!</v>
      </c>
      <c r="M151" s="25" t="e">
        <f ca="1">IF(G151="Всього:",SUM($M$5:M150),IF($E$5="UAH",J151+L151+K151,J151+K151))</f>
        <v>#VALUE!</v>
      </c>
      <c r="N151" s="27" t="str">
        <f ca="1">IF(G151="Всього:",SUM($N$4:N150),IF($E$5="UAH","",L151))</f>
        <v/>
      </c>
      <c r="O151" s="25" t="e">
        <f t="shared" ca="1" si="14"/>
        <v>#DIV/0!</v>
      </c>
      <c r="P151" s="33">
        <f t="shared" ca="1" si="15"/>
        <v>50656</v>
      </c>
      <c r="Q151" s="8" t="e">
        <f t="shared" ca="1" si="18"/>
        <v>#VALUE!</v>
      </c>
    </row>
    <row r="152" spans="6:17" s="8" customFormat="1" ht="13.2" x14ac:dyDescent="0.25">
      <c r="F152" s="34" t="str">
        <f t="shared" ca="1" si="16"/>
        <v/>
      </c>
      <c r="G152" s="23">
        <f t="shared" ca="1" si="19"/>
        <v>50686</v>
      </c>
      <c r="H152" s="24" t="str">
        <f t="shared" si="17"/>
        <v/>
      </c>
      <c r="I152" s="25" t="e">
        <f ca="1">IF($G152="Всього:",SUM($I$4:I151),MAX($C$32,K152))</f>
        <v>#VALUE!</v>
      </c>
      <c r="J152" s="25" t="e">
        <f ca="1">IF($G152="Всього:",SUM($J$4:J151),IF(I152-SUM(K152:L152)&lt;0,0,I152-SUM(K152:L152)))</f>
        <v>#VALUE!</v>
      </c>
      <c r="K152" s="25" t="e">
        <f ca="1">IF(G152="Всього:",SUM($K$5:K151),F152*O151/36000*(G152-G151))</f>
        <v>#VALUE!</v>
      </c>
      <c r="L152" s="25" t="e">
        <f ca="1">IF(G152="Всього:",SUM($L$5:L151),$E$4)</f>
        <v>#DIV/0!</v>
      </c>
      <c r="M152" s="25" t="e">
        <f ca="1">IF(G152="Всього:",SUM($M$5:M151),IF($E$5="UAH",J152+L152+K152,J152+K152))</f>
        <v>#VALUE!</v>
      </c>
      <c r="N152" s="27" t="str">
        <f ca="1">IF(G152="Всього:",SUM($N$4:N151),IF($E$5="UAH","",L152))</f>
        <v/>
      </c>
      <c r="O152" s="25" t="e">
        <f t="shared" ca="1" si="14"/>
        <v>#DIV/0!</v>
      </c>
      <c r="P152" s="33">
        <f t="shared" ca="1" si="15"/>
        <v>50686</v>
      </c>
      <c r="Q152" s="8" t="e">
        <f t="shared" ca="1" si="18"/>
        <v>#VALUE!</v>
      </c>
    </row>
    <row r="153" spans="6:17" s="8" customFormat="1" ht="13.2" x14ac:dyDescent="0.25">
      <c r="F153" s="34" t="str">
        <f t="shared" ca="1" si="16"/>
        <v/>
      </c>
      <c r="G153" s="23">
        <f t="shared" ca="1" si="19"/>
        <v>50717</v>
      </c>
      <c r="H153" s="24" t="str">
        <f t="shared" si="17"/>
        <v/>
      </c>
      <c r="I153" s="25" t="e">
        <f ca="1">IF($G153="Всього:",SUM($I$4:I152),MAX($C$32,K153))</f>
        <v>#VALUE!</v>
      </c>
      <c r="J153" s="25" t="e">
        <f ca="1">IF($G153="Всього:",SUM($J$4:J152),IF(I153-SUM(K153:L153)&lt;0,0,I153-SUM(K153:L153)))</f>
        <v>#VALUE!</v>
      </c>
      <c r="K153" s="25" t="e">
        <f ca="1">IF(G153="Всього:",SUM($K$5:K152),F153*O152/36000*(G153-G152))</f>
        <v>#VALUE!</v>
      </c>
      <c r="L153" s="25" t="e">
        <f ca="1">IF(G153="Всього:",SUM($L$5:L152),$E$4)</f>
        <v>#DIV/0!</v>
      </c>
      <c r="M153" s="25" t="e">
        <f ca="1">IF(G153="Всього:",SUM($M$5:M152),IF($E$5="UAH",J153+L153+K153,J153+K153))</f>
        <v>#VALUE!</v>
      </c>
      <c r="N153" s="27" t="str">
        <f ca="1">IF(G153="Всього:",SUM($N$4:N152),IF($E$5="UAH","",L153))</f>
        <v/>
      </c>
      <c r="O153" s="25" t="e">
        <f t="shared" ca="1" si="14"/>
        <v>#DIV/0!</v>
      </c>
      <c r="P153" s="33">
        <f t="shared" ca="1" si="15"/>
        <v>50717</v>
      </c>
      <c r="Q153" s="8" t="e">
        <f t="shared" ca="1" si="18"/>
        <v>#VALUE!</v>
      </c>
    </row>
    <row r="154" spans="6:17" s="8" customFormat="1" ht="13.2" x14ac:dyDescent="0.25">
      <c r="F154" s="34" t="str">
        <f t="shared" ca="1" si="16"/>
        <v/>
      </c>
      <c r="G154" s="23">
        <f t="shared" ca="1" si="19"/>
        <v>50747</v>
      </c>
      <c r="H154" s="24" t="str">
        <f t="shared" si="17"/>
        <v/>
      </c>
      <c r="I154" s="25" t="e">
        <f ca="1">IF($G154="Всього:",SUM($I$4:I153),MAX($C$32,K154))</f>
        <v>#VALUE!</v>
      </c>
      <c r="J154" s="25" t="e">
        <f ca="1">IF($G154="Всього:",SUM($J$4:J153),IF(I154-SUM(K154:L154)&lt;0,0,I154-SUM(K154:L154)))</f>
        <v>#VALUE!</v>
      </c>
      <c r="K154" s="25" t="e">
        <f ca="1">IF(G154="Всього:",SUM($K$5:K153),F154*O153/36000*(G154-G153))</f>
        <v>#VALUE!</v>
      </c>
      <c r="L154" s="25" t="e">
        <f ca="1">IF(G154="Всього:",SUM($L$5:L153),$E$4)</f>
        <v>#DIV/0!</v>
      </c>
      <c r="M154" s="25" t="e">
        <f ca="1">IF(G154="Всього:",SUM($M$5:M153),IF($E$5="UAH",J154+L154+K154,J154+K154))</f>
        <v>#VALUE!</v>
      </c>
      <c r="N154" s="27" t="str">
        <f ca="1">IF(G154="Всього:",SUM($N$4:N153),IF($E$5="UAH","",L154))</f>
        <v/>
      </c>
      <c r="O154" s="25" t="e">
        <f t="shared" ca="1" si="14"/>
        <v>#DIV/0!</v>
      </c>
      <c r="P154" s="33">
        <f t="shared" ca="1" si="15"/>
        <v>50747</v>
      </c>
      <c r="Q154" s="8" t="e">
        <f t="shared" ca="1" si="18"/>
        <v>#VALUE!</v>
      </c>
    </row>
    <row r="155" spans="6:17" s="8" customFormat="1" ht="13.2" x14ac:dyDescent="0.25">
      <c r="F155" s="34" t="str">
        <f t="shared" ca="1" si="16"/>
        <v/>
      </c>
      <c r="G155" s="23">
        <f t="shared" ca="1" si="19"/>
        <v>50778</v>
      </c>
      <c r="H155" s="24" t="str">
        <f t="shared" si="17"/>
        <v/>
      </c>
      <c r="I155" s="25" t="e">
        <f ca="1">IF($G155="Всього:",SUM($I$4:I154),MAX($C$32,K155))</f>
        <v>#VALUE!</v>
      </c>
      <c r="J155" s="25" t="e">
        <f ca="1">IF($G155="Всього:",SUM($J$4:J154),IF(I155-SUM(K155:L155)&lt;0,0,I155-SUM(K155:L155)))</f>
        <v>#VALUE!</v>
      </c>
      <c r="K155" s="25" t="e">
        <f ca="1">IF(G155="Всього:",SUM($K$5:K154),F155*O154/36000*(G155-G154))</f>
        <v>#VALUE!</v>
      </c>
      <c r="L155" s="25" t="e">
        <f ca="1">IF(G155="Всього:",SUM($L$5:L154),$E$4)</f>
        <v>#DIV/0!</v>
      </c>
      <c r="M155" s="25" t="e">
        <f ca="1">IF(G155="Всього:",SUM($M$5:M154),IF($E$5="UAH",J155+L155+K155,J155+K155))</f>
        <v>#VALUE!</v>
      </c>
      <c r="N155" s="27" t="str">
        <f ca="1">IF(G155="Всього:",SUM($N$4:N154),IF($E$5="UAH","",L155))</f>
        <v/>
      </c>
      <c r="O155" s="25" t="e">
        <f t="shared" ca="1" si="14"/>
        <v>#DIV/0!</v>
      </c>
      <c r="P155" s="33">
        <f t="shared" ca="1" si="15"/>
        <v>50778</v>
      </c>
      <c r="Q155" s="8" t="e">
        <f t="shared" ca="1" si="18"/>
        <v>#VALUE!</v>
      </c>
    </row>
    <row r="156" spans="6:17" s="8" customFormat="1" ht="13.2" x14ac:dyDescent="0.25">
      <c r="F156" s="34" t="str">
        <f t="shared" ca="1" si="16"/>
        <v/>
      </c>
      <c r="G156" s="23">
        <f t="shared" ca="1" si="19"/>
        <v>50809</v>
      </c>
      <c r="H156" s="24" t="str">
        <f t="shared" si="17"/>
        <v/>
      </c>
      <c r="I156" s="25" t="e">
        <f ca="1">IF($G156="Всього:",SUM($I$4:I155),MAX($C$32,K156))</f>
        <v>#VALUE!</v>
      </c>
      <c r="J156" s="25" t="e">
        <f ca="1">IF($G156="Всього:",SUM($J$4:J155),IF(I156-SUM(K156:L156)&lt;0,0,I156-SUM(K156:L156)))</f>
        <v>#VALUE!</v>
      </c>
      <c r="K156" s="25" t="e">
        <f ca="1">IF(G156="Всього:",SUM($K$5:K155),F156*O155/36000*(G156-G155))</f>
        <v>#VALUE!</v>
      </c>
      <c r="L156" s="25" t="e">
        <f ca="1">IF(G156="Всього:",SUM($L$5:L155),$E$4)</f>
        <v>#DIV/0!</v>
      </c>
      <c r="M156" s="25" t="e">
        <f ca="1">IF(G156="Всього:",SUM($M$5:M155),IF($E$5="UAH",J156+L156+K156,J156+K156))</f>
        <v>#VALUE!</v>
      </c>
      <c r="N156" s="27" t="str">
        <f ca="1">IF(G156="Всього:",SUM($N$4:N155),IF($E$5="UAH","",L156))</f>
        <v/>
      </c>
      <c r="O156" s="25" t="e">
        <f t="shared" ca="1" si="14"/>
        <v>#DIV/0!</v>
      </c>
      <c r="P156" s="33">
        <f t="shared" ca="1" si="15"/>
        <v>50809</v>
      </c>
      <c r="Q156" s="8" t="e">
        <f t="shared" ca="1" si="18"/>
        <v>#VALUE!</v>
      </c>
    </row>
    <row r="157" spans="6:17" s="8" customFormat="1" ht="13.2" x14ac:dyDescent="0.25">
      <c r="F157" s="34" t="str">
        <f t="shared" ca="1" si="16"/>
        <v/>
      </c>
      <c r="G157" s="23">
        <f t="shared" ca="1" si="19"/>
        <v>50837</v>
      </c>
      <c r="H157" s="24" t="str">
        <f t="shared" si="17"/>
        <v/>
      </c>
      <c r="I157" s="25" t="e">
        <f ca="1">IF($G157="Всього:",SUM($I$4:I156),MAX($C$32,K157))</f>
        <v>#VALUE!</v>
      </c>
      <c r="J157" s="25" t="e">
        <f ca="1">IF($G157="Всього:",SUM($J$4:J156),IF(I157-SUM(K157:L157)&lt;0,0,I157-SUM(K157:L157)))</f>
        <v>#VALUE!</v>
      </c>
      <c r="K157" s="25" t="e">
        <f ca="1">IF(G157="Всього:",SUM($K$5:K156),F157*O156/36000*(G157-G156))</f>
        <v>#VALUE!</v>
      </c>
      <c r="L157" s="25" t="e">
        <f ca="1">IF(G157="Всього:",SUM($L$5:L156),$E$4)</f>
        <v>#DIV/0!</v>
      </c>
      <c r="M157" s="25" t="e">
        <f ca="1">IF(G157="Всього:",SUM($M$5:M156),IF($E$5="UAH",J157+L157+K157,J157+K157))</f>
        <v>#VALUE!</v>
      </c>
      <c r="N157" s="27" t="str">
        <f ca="1">IF(G157="Всього:",SUM($N$4:N156),IF($E$5="UAH","",L157))</f>
        <v/>
      </c>
      <c r="O157" s="25" t="e">
        <f t="shared" ca="1" si="14"/>
        <v>#DIV/0!</v>
      </c>
      <c r="P157" s="33">
        <f t="shared" ca="1" si="15"/>
        <v>50837</v>
      </c>
      <c r="Q157" s="8" t="e">
        <f t="shared" ca="1" si="18"/>
        <v>#VALUE!</v>
      </c>
    </row>
    <row r="158" spans="6:17" s="8" customFormat="1" ht="13.2" x14ac:dyDescent="0.25">
      <c r="F158" s="34" t="str">
        <f t="shared" ca="1" si="16"/>
        <v/>
      </c>
      <c r="G158" s="23">
        <f t="shared" ca="1" si="19"/>
        <v>50868</v>
      </c>
      <c r="H158" s="24" t="str">
        <f t="shared" si="17"/>
        <v/>
      </c>
      <c r="I158" s="25" t="e">
        <f ca="1">IF($G158="Всього:",SUM($I$4:I157),MAX($C$32,K158))</f>
        <v>#VALUE!</v>
      </c>
      <c r="J158" s="25" t="e">
        <f ca="1">IF($G158="Всього:",SUM($J$4:J157),IF(I158-SUM(K158:L158)&lt;0,0,I158-SUM(K158:L158)))</f>
        <v>#VALUE!</v>
      </c>
      <c r="K158" s="25" t="e">
        <f ca="1">IF(G158="Всього:",SUM($K$5:K157),F158*O157/36000*(G158-G157))</f>
        <v>#VALUE!</v>
      </c>
      <c r="L158" s="25" t="e">
        <f ca="1">IF(G158="Всього:",SUM($L$5:L157),$E$4)</f>
        <v>#DIV/0!</v>
      </c>
      <c r="M158" s="25" t="e">
        <f ca="1">IF(G158="Всього:",SUM($M$5:M157),IF($E$5="UAH",J158+L158+K158,J158+K158))</f>
        <v>#VALUE!</v>
      </c>
      <c r="N158" s="27" t="str">
        <f ca="1">IF(G158="Всього:",SUM($N$4:N157),IF($E$5="UAH","",L158))</f>
        <v/>
      </c>
      <c r="O158" s="25" t="e">
        <f t="shared" ca="1" si="14"/>
        <v>#DIV/0!</v>
      </c>
      <c r="P158" s="33">
        <f t="shared" ca="1" si="15"/>
        <v>50868</v>
      </c>
      <c r="Q158" s="8" t="e">
        <f t="shared" ca="1" si="18"/>
        <v>#VALUE!</v>
      </c>
    </row>
    <row r="159" spans="6:17" s="8" customFormat="1" ht="13.2" x14ac:dyDescent="0.25">
      <c r="F159" s="34" t="str">
        <f t="shared" ca="1" si="16"/>
        <v/>
      </c>
      <c r="G159" s="23">
        <f t="shared" ca="1" si="19"/>
        <v>50898</v>
      </c>
      <c r="H159" s="24" t="str">
        <f t="shared" si="17"/>
        <v/>
      </c>
      <c r="I159" s="25" t="e">
        <f ca="1">IF($G159="Всього:",SUM($I$4:I158),MAX($C$32,K159))</f>
        <v>#VALUE!</v>
      </c>
      <c r="J159" s="25" t="e">
        <f ca="1">IF($G159="Всього:",SUM($J$4:J158),IF(I159-SUM(K159:L159)&lt;0,0,I159-SUM(K159:L159)))</f>
        <v>#VALUE!</v>
      </c>
      <c r="K159" s="25" t="e">
        <f ca="1">IF(G159="Всього:",SUM($K$5:K158),F159*O158/36000*(G159-G158))</f>
        <v>#VALUE!</v>
      </c>
      <c r="L159" s="25" t="e">
        <f ca="1">IF(G159="Всього:",SUM($L$5:L158),$E$4)</f>
        <v>#DIV/0!</v>
      </c>
      <c r="M159" s="25" t="e">
        <f ca="1">IF(G159="Всього:",SUM($M$5:M158),IF($E$5="UAH",J159+L159+K159,J159+K159))</f>
        <v>#VALUE!</v>
      </c>
      <c r="N159" s="27" t="str">
        <f ca="1">IF(G159="Всього:",SUM($N$4:N158),IF($E$5="UAH","",L159))</f>
        <v/>
      </c>
      <c r="O159" s="25" t="e">
        <f t="shared" ca="1" si="14"/>
        <v>#DIV/0!</v>
      </c>
      <c r="P159" s="33">
        <f t="shared" ca="1" si="15"/>
        <v>50898</v>
      </c>
      <c r="Q159" s="8" t="e">
        <f t="shared" ca="1" si="18"/>
        <v>#VALUE!</v>
      </c>
    </row>
    <row r="160" spans="6:17" s="8" customFormat="1" ht="13.2" x14ac:dyDescent="0.25">
      <c r="F160" s="34" t="str">
        <f t="shared" ca="1" si="16"/>
        <v/>
      </c>
      <c r="G160" s="23">
        <f t="shared" ca="1" si="19"/>
        <v>50929</v>
      </c>
      <c r="H160" s="24" t="str">
        <f t="shared" si="17"/>
        <v/>
      </c>
      <c r="I160" s="25" t="e">
        <f ca="1">IF($G160="Всього:",SUM($I$4:I159),MAX($C$32,K160))</f>
        <v>#VALUE!</v>
      </c>
      <c r="J160" s="25" t="e">
        <f ca="1">IF($G160="Всього:",SUM($J$4:J159),IF(I160-SUM(K160:L160)&lt;0,0,I160-SUM(K160:L160)))</f>
        <v>#VALUE!</v>
      </c>
      <c r="K160" s="25" t="e">
        <f ca="1">IF(G160="Всього:",SUM($K$5:K159),F160*O159/36000*(G160-G159))</f>
        <v>#VALUE!</v>
      </c>
      <c r="L160" s="25" t="e">
        <f ca="1">IF(G160="Всього:",SUM($L$5:L159),$E$4)</f>
        <v>#DIV/0!</v>
      </c>
      <c r="M160" s="25" t="e">
        <f ca="1">IF(G160="Всього:",SUM($M$5:M159),IF($E$5="UAH",J160+L160+K160,J160+K160))</f>
        <v>#VALUE!</v>
      </c>
      <c r="N160" s="27" t="str">
        <f ca="1">IF(G160="Всього:",SUM($N$4:N159),IF($E$5="UAH","",L160))</f>
        <v/>
      </c>
      <c r="O160" s="25" t="e">
        <f t="shared" ca="1" si="14"/>
        <v>#DIV/0!</v>
      </c>
      <c r="P160" s="33">
        <f t="shared" ca="1" si="15"/>
        <v>50929</v>
      </c>
      <c r="Q160" s="8" t="e">
        <f t="shared" ref="Q160:Q197" ca="1" si="20">IF(R161="",I160,IFERROR(I160+R161,0))</f>
        <v>#VALUE!</v>
      </c>
    </row>
    <row r="161" spans="6:17" s="8" customFormat="1" ht="13.2" x14ac:dyDescent="0.25">
      <c r="F161" s="34" t="str">
        <f t="shared" ca="1" si="16"/>
        <v/>
      </c>
      <c r="G161" s="23">
        <f t="shared" ca="1" si="19"/>
        <v>50959</v>
      </c>
      <c r="H161" s="24" t="str">
        <f t="shared" si="17"/>
        <v/>
      </c>
      <c r="I161" s="25" t="e">
        <f ca="1">IF($G161="Всього:",SUM($I$4:I160),MAX($C$32,K161))</f>
        <v>#VALUE!</v>
      </c>
      <c r="J161" s="25" t="e">
        <f ca="1">IF($G161="Всього:",SUM($J$4:J160),IF(I161-SUM(K161:L161)&lt;0,0,I161-SUM(K161:L161)))</f>
        <v>#VALUE!</v>
      </c>
      <c r="K161" s="25" t="e">
        <f ca="1">IF(G161="Всього:",SUM($K$5:K160),F161*O160/36000*(G161-G160))</f>
        <v>#VALUE!</v>
      </c>
      <c r="L161" s="25" t="e">
        <f ca="1">IF(G161="Всього:",SUM($L$5:L160),$E$4)</f>
        <v>#DIV/0!</v>
      </c>
      <c r="M161" s="25" t="e">
        <f ca="1">IF(G161="Всього:",SUM($M$5:M160),IF($E$5="UAH",J161+L161+K161,J161+K161))</f>
        <v>#VALUE!</v>
      </c>
      <c r="N161" s="27" t="str">
        <f ca="1">IF(G161="Всього:",SUM($N$4:N160),IF($E$5="UAH","",L161))</f>
        <v/>
      </c>
      <c r="O161" s="25" t="e">
        <f t="shared" ca="1" si="14"/>
        <v>#DIV/0!</v>
      </c>
      <c r="P161" s="33">
        <f t="shared" ca="1" si="15"/>
        <v>50959</v>
      </c>
      <c r="Q161" s="8" t="e">
        <f t="shared" ca="1" si="20"/>
        <v>#VALUE!</v>
      </c>
    </row>
    <row r="162" spans="6:17" s="8" customFormat="1" ht="13.2" x14ac:dyDescent="0.25">
      <c r="F162" s="34" t="str">
        <f t="shared" ca="1" si="16"/>
        <v/>
      </c>
      <c r="G162" s="23">
        <f t="shared" ca="1" si="19"/>
        <v>50990</v>
      </c>
      <c r="H162" s="24" t="str">
        <f t="shared" si="17"/>
        <v/>
      </c>
      <c r="I162" s="25" t="e">
        <f ca="1">IF($G162="Всього:",SUM($I$4:I161),MAX($C$32,K162))</f>
        <v>#VALUE!</v>
      </c>
      <c r="J162" s="25" t="e">
        <f ca="1">IF($G162="Всього:",SUM($J$4:J161),IF(I162-SUM(K162:L162)&lt;0,0,I162-SUM(K162:L162)))</f>
        <v>#VALUE!</v>
      </c>
      <c r="K162" s="25" t="e">
        <f ca="1">IF(G162="Всього:",SUM($K$5:K161),F162*O161/36000*(G162-G161))</f>
        <v>#VALUE!</v>
      </c>
      <c r="L162" s="25" t="e">
        <f ca="1">IF(G162="Всього:",SUM($L$5:L161),$E$4)</f>
        <v>#DIV/0!</v>
      </c>
      <c r="M162" s="25" t="e">
        <f ca="1">IF(G162="Всього:",SUM($M$5:M161),IF($E$5="UAH",J162+L162+K162,J162+K162))</f>
        <v>#VALUE!</v>
      </c>
      <c r="N162" s="27" t="str">
        <f ca="1">IF(G162="Всього:",SUM($N$4:N161),IF($E$5="UAH","",L162))</f>
        <v/>
      </c>
      <c r="O162" s="25" t="e">
        <f t="shared" ca="1" si="14"/>
        <v>#DIV/0!</v>
      </c>
      <c r="P162" s="33">
        <f t="shared" ca="1" si="15"/>
        <v>50990</v>
      </c>
      <c r="Q162" s="8" t="e">
        <f t="shared" ca="1" si="20"/>
        <v>#VALUE!</v>
      </c>
    </row>
    <row r="163" spans="6:17" s="8" customFormat="1" ht="13.2" x14ac:dyDescent="0.25">
      <c r="F163" s="34" t="str">
        <f t="shared" ca="1" si="16"/>
        <v/>
      </c>
      <c r="G163" s="23">
        <f t="shared" ca="1" si="19"/>
        <v>51021</v>
      </c>
      <c r="H163" s="24" t="str">
        <f t="shared" si="17"/>
        <v/>
      </c>
      <c r="I163" s="25" t="e">
        <f ca="1">IF($G163="Всього:",SUM($I$4:I162),MAX($C$32,K163))</f>
        <v>#VALUE!</v>
      </c>
      <c r="J163" s="25" t="e">
        <f ca="1">IF($G163="Всього:",SUM($J$4:J162),IF(I163-SUM(K163:L163)&lt;0,0,I163-SUM(K163:L163)))</f>
        <v>#VALUE!</v>
      </c>
      <c r="K163" s="25" t="e">
        <f ca="1">IF(G163="Всього:",SUM($K$5:K162),F163*O162/36000*(G163-G162))</f>
        <v>#VALUE!</v>
      </c>
      <c r="L163" s="25" t="e">
        <f ca="1">IF(G163="Всього:",SUM($L$5:L162),$E$4)</f>
        <v>#DIV/0!</v>
      </c>
      <c r="M163" s="25" t="e">
        <f ca="1">IF(G163="Всього:",SUM($M$5:M162),IF($E$5="UAH",J163+L163+K163,J163+K163))</f>
        <v>#VALUE!</v>
      </c>
      <c r="N163" s="27" t="str">
        <f ca="1">IF(G163="Всього:",SUM($N$4:N162),IF($E$5="UAH","",L163))</f>
        <v/>
      </c>
      <c r="O163" s="25" t="e">
        <f t="shared" ca="1" si="14"/>
        <v>#DIV/0!</v>
      </c>
      <c r="P163" s="33">
        <f t="shared" ca="1" si="15"/>
        <v>51021</v>
      </c>
      <c r="Q163" s="8" t="e">
        <f t="shared" ca="1" si="20"/>
        <v>#VALUE!</v>
      </c>
    </row>
    <row r="164" spans="6:17" s="8" customFormat="1" ht="13.2" x14ac:dyDescent="0.25">
      <c r="F164" s="34" t="str">
        <f t="shared" ca="1" si="16"/>
        <v/>
      </c>
      <c r="G164" s="23">
        <f t="shared" ca="1" si="19"/>
        <v>51051</v>
      </c>
      <c r="H164" s="24" t="str">
        <f t="shared" si="17"/>
        <v/>
      </c>
      <c r="I164" s="25" t="e">
        <f ca="1">IF($G164="Всього:",SUM($I$4:I163),MAX($C$32,K164))</f>
        <v>#VALUE!</v>
      </c>
      <c r="J164" s="25" t="e">
        <f ca="1">IF($G164="Всього:",SUM($J$4:J163),IF(I164-SUM(K164:L164)&lt;0,0,I164-SUM(K164:L164)))</f>
        <v>#VALUE!</v>
      </c>
      <c r="K164" s="25" t="e">
        <f ca="1">IF(G164="Всього:",SUM($K$5:K163),F164*O163/36000*(G164-G163))</f>
        <v>#VALUE!</v>
      </c>
      <c r="L164" s="25" t="e">
        <f ca="1">IF(G164="Всього:",SUM($L$5:L163),$E$4)</f>
        <v>#DIV/0!</v>
      </c>
      <c r="M164" s="25" t="e">
        <f ca="1">IF(G164="Всього:",SUM($M$5:M163),IF($E$5="UAH",J164+L164+K164,J164+K164))</f>
        <v>#VALUE!</v>
      </c>
      <c r="N164" s="27" t="str">
        <f ca="1">IF(G164="Всього:",SUM($N$4:N163),IF($E$5="UAH","",L164))</f>
        <v/>
      </c>
      <c r="O164" s="25" t="e">
        <f t="shared" ca="1" si="14"/>
        <v>#DIV/0!</v>
      </c>
      <c r="P164" s="33">
        <f t="shared" ca="1" si="15"/>
        <v>51051</v>
      </c>
      <c r="Q164" s="8" t="e">
        <f t="shared" ca="1" si="20"/>
        <v>#VALUE!</v>
      </c>
    </row>
    <row r="165" spans="6:17" s="8" customFormat="1" ht="13.2" x14ac:dyDescent="0.25">
      <c r="F165" s="34" t="str">
        <f t="shared" ca="1" si="16"/>
        <v/>
      </c>
      <c r="G165" s="23">
        <f t="shared" ca="1" si="19"/>
        <v>51082</v>
      </c>
      <c r="H165" s="24" t="str">
        <f t="shared" si="17"/>
        <v/>
      </c>
      <c r="I165" s="25" t="e">
        <f ca="1">IF($G165="Всього:",SUM($I$4:I164),MAX($C$32,K165))</f>
        <v>#VALUE!</v>
      </c>
      <c r="J165" s="25" t="e">
        <f ca="1">IF($G165="Всього:",SUM($J$4:J164),IF(I165-SUM(K165:L165)&lt;0,0,I165-SUM(K165:L165)))</f>
        <v>#VALUE!</v>
      </c>
      <c r="K165" s="25" t="e">
        <f ca="1">IF(G165="Всього:",SUM($K$5:K164),F165*O164/36000*(G165-G164))</f>
        <v>#VALUE!</v>
      </c>
      <c r="L165" s="25" t="e">
        <f ca="1">IF(G165="Всього:",SUM($L$5:L164),$E$4)</f>
        <v>#DIV/0!</v>
      </c>
      <c r="M165" s="25" t="e">
        <f ca="1">IF(G165="Всього:",SUM($M$5:M164),IF($E$5="UAH",J165+L165+K165,J165+K165))</f>
        <v>#VALUE!</v>
      </c>
      <c r="N165" s="27" t="str">
        <f ca="1">IF(G165="Всього:",SUM($N$4:N164),IF($E$5="UAH","",L165))</f>
        <v/>
      </c>
      <c r="O165" s="25" t="e">
        <f t="shared" ca="1" si="14"/>
        <v>#DIV/0!</v>
      </c>
      <c r="P165" s="33">
        <f t="shared" ca="1" si="15"/>
        <v>51082</v>
      </c>
      <c r="Q165" s="8" t="e">
        <f t="shared" ca="1" si="20"/>
        <v>#VALUE!</v>
      </c>
    </row>
    <row r="166" spans="6:17" s="8" customFormat="1" ht="13.2" x14ac:dyDescent="0.25">
      <c r="F166" s="34" t="str">
        <f t="shared" ca="1" si="16"/>
        <v/>
      </c>
      <c r="G166" s="23">
        <f t="shared" ca="1" si="19"/>
        <v>51112</v>
      </c>
      <c r="H166" s="24" t="str">
        <f t="shared" si="17"/>
        <v/>
      </c>
      <c r="I166" s="25" t="e">
        <f ca="1">IF($G166="Всього:",SUM($I$4:I165),MAX($C$32,K166))</f>
        <v>#VALUE!</v>
      </c>
      <c r="J166" s="25" t="e">
        <f ca="1">IF($G166="Всього:",SUM($J$4:J165),IF(I166-SUM(K166:L166)&lt;0,0,I166-SUM(K166:L166)))</f>
        <v>#VALUE!</v>
      </c>
      <c r="K166" s="25" t="e">
        <f ca="1">IF(G166="Всього:",SUM($K$5:K165),F166*O165/36000*(G166-G165))</f>
        <v>#VALUE!</v>
      </c>
      <c r="L166" s="25" t="e">
        <f ca="1">IF(G166="Всього:",SUM($L$5:L165),$E$4)</f>
        <v>#DIV/0!</v>
      </c>
      <c r="M166" s="25" t="e">
        <f ca="1">IF(G166="Всього:",SUM($M$5:M165),IF($E$5="UAH",J166+L166+K166,J166+K166))</f>
        <v>#VALUE!</v>
      </c>
      <c r="N166" s="27" t="str">
        <f ca="1">IF(G166="Всього:",SUM($N$4:N165),IF($E$5="UAH","",L166))</f>
        <v/>
      </c>
      <c r="O166" s="25" t="e">
        <f t="shared" ca="1" si="14"/>
        <v>#DIV/0!</v>
      </c>
      <c r="P166" s="33">
        <f t="shared" ca="1" si="15"/>
        <v>51112</v>
      </c>
      <c r="Q166" s="8" t="e">
        <f t="shared" ca="1" si="20"/>
        <v>#VALUE!</v>
      </c>
    </row>
    <row r="167" spans="6:17" s="8" customFormat="1" ht="13.2" x14ac:dyDescent="0.25">
      <c r="F167" s="34" t="str">
        <f t="shared" ca="1" si="16"/>
        <v/>
      </c>
      <c r="G167" s="23">
        <f t="shared" ca="1" si="19"/>
        <v>51143</v>
      </c>
      <c r="H167" s="24" t="str">
        <f t="shared" si="17"/>
        <v/>
      </c>
      <c r="I167" s="25" t="e">
        <f ca="1">IF($G167="Всього:",SUM($I$4:I166),MAX($C$32,K167))</f>
        <v>#VALUE!</v>
      </c>
      <c r="J167" s="25" t="e">
        <f ca="1">IF($G167="Всього:",SUM($J$4:J166),IF(I167-SUM(K167:L167)&lt;0,0,I167-SUM(K167:L167)))</f>
        <v>#VALUE!</v>
      </c>
      <c r="K167" s="25" t="e">
        <f ca="1">IF(G167="Всього:",SUM($K$5:K166),F167*O166/36000*(G167-G166))</f>
        <v>#VALUE!</v>
      </c>
      <c r="L167" s="25" t="e">
        <f ca="1">IF(G167="Всього:",SUM($L$5:L166),$E$4)</f>
        <v>#DIV/0!</v>
      </c>
      <c r="M167" s="25" t="e">
        <f ca="1">IF(G167="Всього:",SUM($M$5:M166),IF($E$5="UAH",J167+L167+K167,J167+K167))</f>
        <v>#VALUE!</v>
      </c>
      <c r="N167" s="27" t="str">
        <f ca="1">IF(G167="Всього:",SUM($N$4:N166),IF($E$5="UAH","",L167))</f>
        <v/>
      </c>
      <c r="O167" s="25" t="e">
        <f t="shared" ca="1" si="14"/>
        <v>#DIV/0!</v>
      </c>
      <c r="P167" s="33">
        <f t="shared" ca="1" si="15"/>
        <v>51143</v>
      </c>
      <c r="Q167" s="8" t="e">
        <f t="shared" ca="1" si="20"/>
        <v>#VALUE!</v>
      </c>
    </row>
    <row r="168" spans="6:17" s="8" customFormat="1" ht="13.2" x14ac:dyDescent="0.25">
      <c r="F168" s="34" t="str">
        <f t="shared" ca="1" si="16"/>
        <v/>
      </c>
      <c r="G168" s="23">
        <f t="shared" ca="1" si="19"/>
        <v>51174</v>
      </c>
      <c r="H168" s="24" t="str">
        <f t="shared" si="17"/>
        <v/>
      </c>
      <c r="I168" s="25" t="e">
        <f ca="1">IF($G168="Всього:",SUM($I$4:I167),MAX($C$32,K168))</f>
        <v>#VALUE!</v>
      </c>
      <c r="J168" s="25" t="e">
        <f ca="1">IF($G168="Всього:",SUM($J$4:J167),IF(I168-SUM(K168:L168)&lt;0,0,I168-SUM(K168:L168)))</f>
        <v>#VALUE!</v>
      </c>
      <c r="K168" s="25" t="e">
        <f ca="1">IF(G168="Всього:",SUM($K$5:K167),F168*O167/36000*(G168-G167))</f>
        <v>#VALUE!</v>
      </c>
      <c r="L168" s="25" t="e">
        <f ca="1">IF(G168="Всього:",SUM($L$5:L167),$E$4)</f>
        <v>#DIV/0!</v>
      </c>
      <c r="M168" s="25" t="e">
        <f ca="1">IF(G168="Всього:",SUM($M$5:M167),IF($E$5="UAH",J168+L168+K168,J168+K168))</f>
        <v>#VALUE!</v>
      </c>
      <c r="N168" s="27" t="str">
        <f ca="1">IF(G168="Всього:",SUM($N$4:N167),IF($E$5="UAH","",L168))</f>
        <v/>
      </c>
      <c r="O168" s="25" t="e">
        <f t="shared" ca="1" si="14"/>
        <v>#DIV/0!</v>
      </c>
      <c r="P168" s="33">
        <f t="shared" ca="1" si="15"/>
        <v>51174</v>
      </c>
      <c r="Q168" s="8" t="e">
        <f t="shared" ca="1" si="20"/>
        <v>#VALUE!</v>
      </c>
    </row>
    <row r="169" spans="6:17" s="8" customFormat="1" ht="13.2" x14ac:dyDescent="0.25">
      <c r="F169" s="34" t="str">
        <f t="shared" ca="1" si="16"/>
        <v/>
      </c>
      <c r="G169" s="23">
        <f t="shared" ca="1" si="19"/>
        <v>51203</v>
      </c>
      <c r="H169" s="24" t="str">
        <f t="shared" si="17"/>
        <v/>
      </c>
      <c r="I169" s="25" t="e">
        <f ca="1">IF($G169="Всього:",SUM($I$4:I168),MAX($C$32,K169))</f>
        <v>#VALUE!</v>
      </c>
      <c r="J169" s="25" t="e">
        <f ca="1">IF($G169="Всього:",SUM($J$4:J168),IF(I169-SUM(K169:L169)&lt;0,0,I169-SUM(K169:L169)))</f>
        <v>#VALUE!</v>
      </c>
      <c r="K169" s="25" t="e">
        <f ca="1">IF(G169="Всього:",SUM($K$5:K168),F169*O168/36000*(G169-G168))</f>
        <v>#VALUE!</v>
      </c>
      <c r="L169" s="25" t="e">
        <f ca="1">IF(G169="Всього:",SUM($L$5:L168),$E$4)</f>
        <v>#DIV/0!</v>
      </c>
      <c r="M169" s="25" t="e">
        <f ca="1">IF(G169="Всього:",SUM($M$5:M168),IF($E$5="UAH",J169+L169+K169,J169+K169))</f>
        <v>#VALUE!</v>
      </c>
      <c r="N169" s="27" t="str">
        <f ca="1">IF(G169="Всього:",SUM($N$4:N168),IF($E$5="UAH","",L169))</f>
        <v/>
      </c>
      <c r="O169" s="25" t="e">
        <f t="shared" ca="1" si="14"/>
        <v>#DIV/0!</v>
      </c>
      <c r="P169" s="33">
        <f t="shared" ca="1" si="15"/>
        <v>51203</v>
      </c>
      <c r="Q169" s="8" t="e">
        <f t="shared" ca="1" si="20"/>
        <v>#VALUE!</v>
      </c>
    </row>
    <row r="170" spans="6:17" s="8" customFormat="1" ht="13.2" x14ac:dyDescent="0.25">
      <c r="F170" s="34" t="str">
        <f t="shared" ca="1" si="16"/>
        <v/>
      </c>
      <c r="G170" s="23">
        <f t="shared" ca="1" si="19"/>
        <v>51234</v>
      </c>
      <c r="H170" s="24" t="str">
        <f t="shared" si="17"/>
        <v/>
      </c>
      <c r="I170" s="25" t="e">
        <f ca="1">IF($G170="Всього:",SUM($I$4:I169),MAX($C$32,K170))</f>
        <v>#VALUE!</v>
      </c>
      <c r="J170" s="25" t="e">
        <f ca="1">IF($G170="Всього:",SUM($J$4:J169),IF(I170-SUM(K170:L170)&lt;0,0,I170-SUM(K170:L170)))</f>
        <v>#VALUE!</v>
      </c>
      <c r="K170" s="25" t="e">
        <f ca="1">IF(G170="Всього:",SUM($K$5:K169),F170*O169/36000*(G170-G169))</f>
        <v>#VALUE!</v>
      </c>
      <c r="L170" s="25" t="e">
        <f ca="1">IF(G170="Всього:",SUM($L$5:L169),$E$4)</f>
        <v>#DIV/0!</v>
      </c>
      <c r="M170" s="25" t="e">
        <f ca="1">IF(G170="Всього:",SUM($M$5:M169),IF($E$5="UAH",J170+L170+K170,J170+K170))</f>
        <v>#VALUE!</v>
      </c>
      <c r="N170" s="27" t="str">
        <f ca="1">IF(G170="Всього:",SUM($N$4:N169),IF($E$5="UAH","",L170))</f>
        <v/>
      </c>
      <c r="O170" s="25" t="e">
        <f t="shared" ca="1" si="14"/>
        <v>#DIV/0!</v>
      </c>
      <c r="P170" s="33">
        <f t="shared" ca="1" si="15"/>
        <v>51234</v>
      </c>
      <c r="Q170" s="8" t="e">
        <f t="shared" ca="1" si="20"/>
        <v>#VALUE!</v>
      </c>
    </row>
    <row r="171" spans="6:17" s="8" customFormat="1" ht="13.2" x14ac:dyDescent="0.25">
      <c r="F171" s="34" t="str">
        <f t="shared" ca="1" si="16"/>
        <v/>
      </c>
      <c r="G171" s="23">
        <f t="shared" ca="1" si="19"/>
        <v>51264</v>
      </c>
      <c r="H171" s="24" t="str">
        <f t="shared" si="17"/>
        <v/>
      </c>
      <c r="I171" s="25" t="e">
        <f ca="1">IF($G171="Всього:",SUM($I$4:I170),MAX($C$32,K171))</f>
        <v>#VALUE!</v>
      </c>
      <c r="J171" s="25" t="e">
        <f ca="1">IF($G171="Всього:",SUM($J$4:J170),IF(I171-SUM(K171:L171)&lt;0,0,I171-SUM(K171:L171)))</f>
        <v>#VALUE!</v>
      </c>
      <c r="K171" s="25" t="e">
        <f ca="1">IF(G171="Всього:",SUM($K$5:K170),F171*O170/36000*(G171-G170))</f>
        <v>#VALUE!</v>
      </c>
      <c r="L171" s="25" t="e">
        <f ca="1">IF(G171="Всього:",SUM($L$5:L170),$E$4)</f>
        <v>#DIV/0!</v>
      </c>
      <c r="M171" s="25" t="e">
        <f ca="1">IF(G171="Всього:",SUM($M$5:M170),IF($E$5="UAH",J171+L171+K171,J171+K171))</f>
        <v>#VALUE!</v>
      </c>
      <c r="N171" s="27" t="str">
        <f ca="1">IF(G171="Всього:",SUM($N$4:N170),IF($E$5="UAH","",L171))</f>
        <v/>
      </c>
      <c r="O171" s="25" t="e">
        <f t="shared" ca="1" si="14"/>
        <v>#DIV/0!</v>
      </c>
      <c r="P171" s="33">
        <f t="shared" ca="1" si="15"/>
        <v>51264</v>
      </c>
      <c r="Q171" s="8" t="e">
        <f t="shared" ca="1" si="20"/>
        <v>#VALUE!</v>
      </c>
    </row>
    <row r="172" spans="6:17" s="8" customFormat="1" ht="13.2" x14ac:dyDescent="0.25">
      <c r="F172" s="34" t="str">
        <f t="shared" ca="1" si="16"/>
        <v/>
      </c>
      <c r="G172" s="23">
        <f t="shared" ca="1" si="19"/>
        <v>51295</v>
      </c>
      <c r="H172" s="24" t="str">
        <f t="shared" si="17"/>
        <v/>
      </c>
      <c r="I172" s="25" t="e">
        <f ca="1">IF($G172="Всього:",SUM($I$4:I171),MAX($C$32,K172))</f>
        <v>#VALUE!</v>
      </c>
      <c r="J172" s="25" t="e">
        <f ca="1">IF($G172="Всього:",SUM($J$4:J171),IF(I172-SUM(K172:L172)&lt;0,0,I172-SUM(K172:L172)))</f>
        <v>#VALUE!</v>
      </c>
      <c r="K172" s="25" t="e">
        <f ca="1">IF(G172="Всього:",SUM($K$5:K171),F172*O171/36000*(G172-G171))</f>
        <v>#VALUE!</v>
      </c>
      <c r="L172" s="25" t="e">
        <f ca="1">IF(G172="Всього:",SUM($L$5:L171),$E$4)</f>
        <v>#DIV/0!</v>
      </c>
      <c r="M172" s="25" t="e">
        <f ca="1">IF(G172="Всього:",SUM($M$5:M171),IF($E$5="UAH",J172+L172+K172,J172+K172))</f>
        <v>#VALUE!</v>
      </c>
      <c r="N172" s="27" t="str">
        <f ca="1">IF(G172="Всього:",SUM($N$4:N171),IF($E$5="UAH","",L172))</f>
        <v/>
      </c>
      <c r="O172" s="25" t="e">
        <f t="shared" ca="1" si="14"/>
        <v>#DIV/0!</v>
      </c>
      <c r="P172" s="33">
        <f t="shared" ca="1" si="15"/>
        <v>51295</v>
      </c>
      <c r="Q172" s="8" t="e">
        <f t="shared" ca="1" si="20"/>
        <v>#VALUE!</v>
      </c>
    </row>
    <row r="173" spans="6:17" s="8" customFormat="1" ht="13.2" x14ac:dyDescent="0.25">
      <c r="F173" s="34" t="str">
        <f t="shared" ca="1" si="16"/>
        <v/>
      </c>
      <c r="G173" s="23">
        <f t="shared" ca="1" si="19"/>
        <v>51325</v>
      </c>
      <c r="H173" s="24" t="str">
        <f t="shared" si="17"/>
        <v/>
      </c>
      <c r="I173" s="25" t="e">
        <f ca="1">IF($G173="Всього:",SUM($I$4:I172),MAX($C$32,K173))</f>
        <v>#VALUE!</v>
      </c>
      <c r="J173" s="25" t="e">
        <f ca="1">IF($G173="Всього:",SUM($J$4:J172),IF(I173-SUM(K173:L173)&lt;0,0,I173-SUM(K173:L173)))</f>
        <v>#VALUE!</v>
      </c>
      <c r="K173" s="25" t="e">
        <f ca="1">IF(G173="Всього:",SUM($K$5:K172),F173*O172/36000*(G173-G172))</f>
        <v>#VALUE!</v>
      </c>
      <c r="L173" s="25" t="e">
        <f ca="1">IF(G173="Всього:",SUM($L$5:L172),$E$4)</f>
        <v>#DIV/0!</v>
      </c>
      <c r="M173" s="25" t="e">
        <f ca="1">IF(G173="Всього:",SUM($M$5:M172),IF($E$5="UAH",J173+L173+K173,J173+K173))</f>
        <v>#VALUE!</v>
      </c>
      <c r="N173" s="27" t="str">
        <f ca="1">IF(G173="Всього:",SUM($N$4:N172),IF($E$5="UAH","",L173))</f>
        <v/>
      </c>
      <c r="O173" s="25" t="e">
        <f t="shared" ca="1" si="14"/>
        <v>#DIV/0!</v>
      </c>
      <c r="P173" s="33">
        <f t="shared" ca="1" si="15"/>
        <v>51325</v>
      </c>
      <c r="Q173" s="8" t="e">
        <f t="shared" ca="1" si="20"/>
        <v>#VALUE!</v>
      </c>
    </row>
    <row r="174" spans="6:17" s="8" customFormat="1" ht="13.2" x14ac:dyDescent="0.25">
      <c r="F174" s="34" t="str">
        <f t="shared" ca="1" si="16"/>
        <v/>
      </c>
      <c r="G174" s="23">
        <f t="shared" ca="1" si="19"/>
        <v>51356</v>
      </c>
      <c r="H174" s="24" t="str">
        <f t="shared" si="17"/>
        <v/>
      </c>
      <c r="I174" s="25" t="e">
        <f ca="1">IF($G174="Всього:",SUM($I$4:I173),MAX($C$32,K174))</f>
        <v>#VALUE!</v>
      </c>
      <c r="J174" s="25" t="e">
        <f ca="1">IF($G174="Всього:",SUM($J$4:J173),IF(I174-SUM(K174:L174)&lt;0,0,I174-SUM(K174:L174)))</f>
        <v>#VALUE!</v>
      </c>
      <c r="K174" s="25" t="e">
        <f ca="1">IF(G174="Всього:",SUM($K$5:K173),F174*O173/36000*(G174-G173))</f>
        <v>#VALUE!</v>
      </c>
      <c r="L174" s="25" t="e">
        <f ca="1">IF(G174="Всього:",SUM($L$5:L173),$E$4)</f>
        <v>#DIV/0!</v>
      </c>
      <c r="M174" s="25" t="e">
        <f ca="1">IF(G174="Всього:",SUM($M$5:M173),IF($E$5="UAH",J174+L174+K174,J174+K174))</f>
        <v>#VALUE!</v>
      </c>
      <c r="N174" s="27" t="str">
        <f ca="1">IF(G174="Всього:",SUM($N$4:N173),IF($E$5="UAH","",L174))</f>
        <v/>
      </c>
      <c r="O174" s="25" t="e">
        <f t="shared" ca="1" si="14"/>
        <v>#DIV/0!</v>
      </c>
      <c r="P174" s="33">
        <f t="shared" ca="1" si="15"/>
        <v>51356</v>
      </c>
      <c r="Q174" s="8" t="e">
        <f t="shared" ca="1" si="20"/>
        <v>#VALUE!</v>
      </c>
    </row>
    <row r="175" spans="6:17" s="8" customFormat="1" ht="13.2" x14ac:dyDescent="0.25">
      <c r="F175" s="34" t="str">
        <f t="shared" ca="1" si="16"/>
        <v/>
      </c>
      <c r="G175" s="23">
        <f t="shared" ca="1" si="19"/>
        <v>51387</v>
      </c>
      <c r="H175" s="24" t="str">
        <f t="shared" si="17"/>
        <v/>
      </c>
      <c r="I175" s="25" t="e">
        <f ca="1">IF($G175="Всього:",SUM($I$4:I174),MAX($C$32,K175))</f>
        <v>#VALUE!</v>
      </c>
      <c r="J175" s="25" t="e">
        <f ca="1">IF($G175="Всього:",SUM($J$4:J174),IF(I175-SUM(K175:L175)&lt;0,0,I175-SUM(K175:L175)))</f>
        <v>#VALUE!</v>
      </c>
      <c r="K175" s="25" t="e">
        <f ca="1">IF(G175="Всього:",SUM($K$5:K174),F175*O174/36000*(G175-G174))</f>
        <v>#VALUE!</v>
      </c>
      <c r="L175" s="25" t="e">
        <f ca="1">IF(G175="Всього:",SUM($L$5:L174),$E$4)</f>
        <v>#DIV/0!</v>
      </c>
      <c r="M175" s="25" t="e">
        <f ca="1">IF(G175="Всього:",SUM($M$5:M174),IF($E$5="UAH",J175+L175+K175,J175+K175))</f>
        <v>#VALUE!</v>
      </c>
      <c r="N175" s="27" t="str">
        <f ca="1">IF(G175="Всього:",SUM($N$4:N174),IF($E$5="UAH","",L175))</f>
        <v/>
      </c>
      <c r="O175" s="25" t="e">
        <f t="shared" ca="1" si="14"/>
        <v>#DIV/0!</v>
      </c>
      <c r="P175" s="33">
        <f t="shared" ca="1" si="15"/>
        <v>51387</v>
      </c>
      <c r="Q175" s="8" t="e">
        <f t="shared" ca="1" si="20"/>
        <v>#VALUE!</v>
      </c>
    </row>
    <row r="176" spans="6:17" s="8" customFormat="1" ht="13.2" x14ac:dyDescent="0.25">
      <c r="F176" s="34" t="str">
        <f t="shared" ca="1" si="16"/>
        <v/>
      </c>
      <c r="G176" s="23">
        <f t="shared" ca="1" si="19"/>
        <v>51417</v>
      </c>
      <c r="H176" s="24" t="str">
        <f t="shared" si="17"/>
        <v/>
      </c>
      <c r="I176" s="25" t="e">
        <f ca="1">IF($G176="Всього:",SUM($I$4:I175),MAX($C$32,K176))</f>
        <v>#VALUE!</v>
      </c>
      <c r="J176" s="25" t="e">
        <f ca="1">IF($G176="Всього:",SUM($J$4:J175),IF(I176-SUM(K176:L176)&lt;0,0,I176-SUM(K176:L176)))</f>
        <v>#VALUE!</v>
      </c>
      <c r="K176" s="25" t="e">
        <f ca="1">IF(G176="Всього:",SUM($K$5:K175),F176*O175/36000*(G176-G175))</f>
        <v>#VALUE!</v>
      </c>
      <c r="L176" s="25" t="e">
        <f ca="1">IF(G176="Всього:",SUM($L$5:L175),$E$4)</f>
        <v>#DIV/0!</v>
      </c>
      <c r="M176" s="25" t="e">
        <f ca="1">IF(G176="Всього:",SUM($M$5:M175),IF($E$5="UAH",J176+L176+K176,J176+K176))</f>
        <v>#VALUE!</v>
      </c>
      <c r="N176" s="27" t="str">
        <f ca="1">IF(G176="Всього:",SUM($N$4:N175),IF($E$5="UAH","",L176))</f>
        <v/>
      </c>
      <c r="O176" s="25" t="e">
        <f t="shared" ca="1" si="14"/>
        <v>#DIV/0!</v>
      </c>
      <c r="P176" s="33">
        <f t="shared" ca="1" si="15"/>
        <v>51417</v>
      </c>
      <c r="Q176" s="8" t="e">
        <f t="shared" ca="1" si="20"/>
        <v>#VALUE!</v>
      </c>
    </row>
    <row r="177" spans="6:17" s="8" customFormat="1" ht="13.2" x14ac:dyDescent="0.25">
      <c r="F177" s="34" t="str">
        <f t="shared" ca="1" si="16"/>
        <v/>
      </c>
      <c r="G177" s="23">
        <f t="shared" ca="1" si="19"/>
        <v>51448</v>
      </c>
      <c r="H177" s="24" t="str">
        <f t="shared" si="17"/>
        <v/>
      </c>
      <c r="I177" s="25" t="e">
        <f ca="1">IF($G177="Всього:",SUM($I$4:I176),MAX($C$32,K177))</f>
        <v>#VALUE!</v>
      </c>
      <c r="J177" s="25" t="e">
        <f ca="1">IF($G177="Всього:",SUM($J$4:J176),IF(I177-SUM(K177:L177)&lt;0,0,I177-SUM(K177:L177)))</f>
        <v>#VALUE!</v>
      </c>
      <c r="K177" s="25" t="e">
        <f ca="1">IF(G177="Всього:",SUM($K$5:K176),F177*O176/36000*(G177-G176))</f>
        <v>#VALUE!</v>
      </c>
      <c r="L177" s="25" t="e">
        <f ca="1">IF(G177="Всього:",SUM($L$5:L176),$E$4)</f>
        <v>#DIV/0!</v>
      </c>
      <c r="M177" s="25" t="e">
        <f ca="1">IF(G177="Всього:",SUM($M$5:M176),IF($E$5="UAH",J177+L177+K177,J177+K177))</f>
        <v>#VALUE!</v>
      </c>
      <c r="N177" s="27" t="str">
        <f ca="1">IF(G177="Всього:",SUM($N$4:N176),IF($E$5="UAH","",L177))</f>
        <v/>
      </c>
      <c r="O177" s="25" t="e">
        <f t="shared" ca="1" si="14"/>
        <v>#DIV/0!</v>
      </c>
      <c r="P177" s="33">
        <f t="shared" ca="1" si="15"/>
        <v>51448</v>
      </c>
      <c r="Q177" s="8" t="e">
        <f t="shared" ca="1" si="20"/>
        <v>#VALUE!</v>
      </c>
    </row>
    <row r="178" spans="6:17" s="8" customFormat="1" ht="13.2" x14ac:dyDescent="0.25">
      <c r="F178" s="34" t="str">
        <f t="shared" ca="1" si="16"/>
        <v/>
      </c>
      <c r="G178" s="23">
        <f t="shared" ca="1" si="19"/>
        <v>51478</v>
      </c>
      <c r="H178" s="24" t="str">
        <f t="shared" si="17"/>
        <v/>
      </c>
      <c r="I178" s="25" t="e">
        <f ca="1">IF($G178="Всього:",SUM($I$4:I177),MAX($C$32,K178))</f>
        <v>#VALUE!</v>
      </c>
      <c r="J178" s="25" t="e">
        <f ca="1">IF($G178="Всього:",SUM($J$4:J177),IF(I178-SUM(K178:L178)&lt;0,0,I178-SUM(K178:L178)))</f>
        <v>#VALUE!</v>
      </c>
      <c r="K178" s="25" t="e">
        <f ca="1">IF(G178="Всього:",SUM($K$5:K177),F178*O177/36000*(G178-G177))</f>
        <v>#VALUE!</v>
      </c>
      <c r="L178" s="25" t="e">
        <f ca="1">IF(G178="Всього:",SUM($L$5:L177),$E$4)</f>
        <v>#DIV/0!</v>
      </c>
      <c r="M178" s="25" t="e">
        <f ca="1">IF(G178="Всього:",SUM($M$5:M177),IF($E$5="UAH",J178+L178+K178,J178+K178))</f>
        <v>#VALUE!</v>
      </c>
      <c r="N178" s="27" t="str">
        <f ca="1">IF(G178="Всього:",SUM($N$4:N177),IF($E$5="UAH","",L178))</f>
        <v/>
      </c>
      <c r="O178" s="25" t="e">
        <f t="shared" ca="1" si="14"/>
        <v>#DIV/0!</v>
      </c>
      <c r="P178" s="33">
        <f t="shared" ca="1" si="15"/>
        <v>51478</v>
      </c>
      <c r="Q178" s="8" t="e">
        <f t="shared" ca="1" si="20"/>
        <v>#VALUE!</v>
      </c>
    </row>
    <row r="179" spans="6:17" s="8" customFormat="1" ht="13.2" x14ac:dyDescent="0.25">
      <c r="F179" s="34" t="str">
        <f t="shared" ca="1" si="16"/>
        <v/>
      </c>
      <c r="G179" s="23">
        <f t="shared" ca="1" si="19"/>
        <v>51509</v>
      </c>
      <c r="H179" s="24" t="str">
        <f t="shared" si="17"/>
        <v/>
      </c>
      <c r="I179" s="25" t="e">
        <f ca="1">IF($G179="Всього:",SUM($I$4:I178),MAX($C$32,K179))</f>
        <v>#VALUE!</v>
      </c>
      <c r="J179" s="25" t="e">
        <f ca="1">IF($G179="Всього:",SUM($J$4:J178),IF(I179-SUM(K179:L179)&lt;0,0,I179-SUM(K179:L179)))</f>
        <v>#VALUE!</v>
      </c>
      <c r="K179" s="25" t="e">
        <f ca="1">IF(G179="Всього:",SUM($K$5:K178),F179*O178/36000*(G179-G178))</f>
        <v>#VALUE!</v>
      </c>
      <c r="L179" s="25" t="e">
        <f ca="1">IF(G179="Всього:",SUM($L$5:L178),$E$4)</f>
        <v>#DIV/0!</v>
      </c>
      <c r="M179" s="25" t="e">
        <f ca="1">IF(G179="Всього:",SUM($M$5:M178),IF($E$5="UAH",J179+L179+K179,J179+K179))</f>
        <v>#VALUE!</v>
      </c>
      <c r="N179" s="27" t="str">
        <f ca="1">IF(G179="Всього:",SUM($N$4:N178),IF($E$5="UAH","",L179))</f>
        <v/>
      </c>
      <c r="O179" s="25" t="e">
        <f t="shared" ca="1" si="14"/>
        <v>#DIV/0!</v>
      </c>
      <c r="P179" s="33">
        <f t="shared" ca="1" si="15"/>
        <v>51509</v>
      </c>
      <c r="Q179" s="8" t="e">
        <f t="shared" ca="1" si="20"/>
        <v>#VALUE!</v>
      </c>
    </row>
    <row r="180" spans="6:17" s="8" customFormat="1" ht="13.2" x14ac:dyDescent="0.25">
      <c r="F180" s="34" t="str">
        <f t="shared" ca="1" si="16"/>
        <v/>
      </c>
      <c r="G180" s="23">
        <f t="shared" ca="1" si="19"/>
        <v>51540</v>
      </c>
      <c r="H180" s="24" t="str">
        <f t="shared" si="17"/>
        <v/>
      </c>
      <c r="I180" s="25" t="e">
        <f ca="1">IF($G180="Всього:",SUM($I$4:I179),MAX($C$32,K180))</f>
        <v>#VALUE!</v>
      </c>
      <c r="J180" s="25" t="e">
        <f ca="1">IF($G180="Всього:",SUM($J$4:J179),IF(I180-SUM(K180:L180)&lt;0,0,I180-SUM(K180:L180)))</f>
        <v>#VALUE!</v>
      </c>
      <c r="K180" s="25" t="e">
        <f ca="1">IF(G180="Всього:",SUM($K$5:K179),F180*O179/36000*(G180-G179))</f>
        <v>#VALUE!</v>
      </c>
      <c r="L180" s="25" t="e">
        <f ca="1">IF(G180="Всього:",SUM($L$5:L179),$E$4)</f>
        <v>#DIV/0!</v>
      </c>
      <c r="M180" s="25" t="e">
        <f ca="1">IF(G180="Всього:",SUM($M$5:M179),IF($E$5="UAH",J180+L180+K180,J180+K180))</f>
        <v>#VALUE!</v>
      </c>
      <c r="N180" s="27" t="str">
        <f ca="1">IF(G180="Всього:",SUM($N$4:N179),IF($E$5="UAH","",L180))</f>
        <v/>
      </c>
      <c r="O180" s="25" t="e">
        <f t="shared" ca="1" si="14"/>
        <v>#DIV/0!</v>
      </c>
      <c r="P180" s="33">
        <f t="shared" ca="1" si="15"/>
        <v>51540</v>
      </c>
      <c r="Q180" s="8" t="e">
        <f t="shared" ca="1" si="20"/>
        <v>#VALUE!</v>
      </c>
    </row>
    <row r="181" spans="6:17" s="8" customFormat="1" ht="13.2" x14ac:dyDescent="0.25">
      <c r="F181" s="34" t="str">
        <f t="shared" ca="1" si="16"/>
        <v/>
      </c>
      <c r="G181" s="23">
        <f t="shared" ca="1" si="19"/>
        <v>51568</v>
      </c>
      <c r="H181" s="24" t="str">
        <f t="shared" si="17"/>
        <v/>
      </c>
      <c r="I181" s="25" t="e">
        <f ca="1">IF($G181="Всього:",SUM($I$4:I180),MAX($C$32,K181))</f>
        <v>#VALUE!</v>
      </c>
      <c r="J181" s="25" t="e">
        <f ca="1">IF($G181="Всього:",SUM($J$4:J180),IF(I181-SUM(K181:L181)&lt;0,0,I181-SUM(K181:L181)))</f>
        <v>#VALUE!</v>
      </c>
      <c r="K181" s="25" t="e">
        <f ca="1">IF(G181="Всього:",SUM($K$5:K180),F181*O180/36000*(G181-G180))</f>
        <v>#VALUE!</v>
      </c>
      <c r="L181" s="25" t="e">
        <f ca="1">IF(G181="Всього:",SUM($L$5:L180),$E$4)</f>
        <v>#DIV/0!</v>
      </c>
      <c r="M181" s="25" t="e">
        <f ca="1">IF(G181="Всього:",SUM($M$5:M180),IF($E$5="UAH",J181+L181+K181,J181+K181))</f>
        <v>#VALUE!</v>
      </c>
      <c r="N181" s="27" t="str">
        <f ca="1">IF(G181="Всього:",SUM($N$4:N180),IF($E$5="UAH","",L181))</f>
        <v/>
      </c>
      <c r="O181" s="25" t="e">
        <f t="shared" ca="1" si="14"/>
        <v>#DIV/0!</v>
      </c>
      <c r="P181" s="33">
        <f t="shared" ca="1" si="15"/>
        <v>51568</v>
      </c>
      <c r="Q181" s="8" t="e">
        <f t="shared" ca="1" si="20"/>
        <v>#VALUE!</v>
      </c>
    </row>
    <row r="182" spans="6:17" s="8" customFormat="1" ht="13.2" x14ac:dyDescent="0.25">
      <c r="F182" s="34" t="str">
        <f t="shared" ca="1" si="16"/>
        <v/>
      </c>
      <c r="G182" s="23">
        <f t="shared" ca="1" si="19"/>
        <v>51599</v>
      </c>
      <c r="H182" s="24" t="str">
        <f t="shared" si="17"/>
        <v/>
      </c>
      <c r="I182" s="25" t="e">
        <f ca="1">IF($G182="Всього:",SUM($I$4:I181),MAX($C$32,K182))</f>
        <v>#VALUE!</v>
      </c>
      <c r="J182" s="25" t="e">
        <f ca="1">IF($G182="Всього:",SUM($J$4:J181),IF(I182-SUM(K182:L182)&lt;0,0,I182-SUM(K182:L182)))</f>
        <v>#VALUE!</v>
      </c>
      <c r="K182" s="25" t="e">
        <f ca="1">IF(G182="Всього:",SUM($K$5:K181),F182*O181/36000*(G182-G181))</f>
        <v>#VALUE!</v>
      </c>
      <c r="L182" s="25" t="e">
        <f ca="1">IF(G182="Всього:",SUM($L$5:L181),$E$4)</f>
        <v>#DIV/0!</v>
      </c>
      <c r="M182" s="25" t="e">
        <f ca="1">IF(G182="Всього:",SUM($M$5:M181),IF($E$5="UAH",J182+L182+K182,J182+K182))</f>
        <v>#VALUE!</v>
      </c>
      <c r="N182" s="27" t="str">
        <f ca="1">IF(G182="Всього:",SUM($N$4:N181),IF($E$5="UAH","",L182))</f>
        <v/>
      </c>
      <c r="O182" s="25" t="e">
        <f t="shared" ca="1" si="14"/>
        <v>#DIV/0!</v>
      </c>
      <c r="P182" s="33">
        <f t="shared" ca="1" si="15"/>
        <v>51599</v>
      </c>
      <c r="Q182" s="8" t="e">
        <f t="shared" ca="1" si="20"/>
        <v>#VALUE!</v>
      </c>
    </row>
    <row r="183" spans="6:17" s="8" customFormat="1" ht="13.2" x14ac:dyDescent="0.25">
      <c r="F183" s="34" t="str">
        <f t="shared" ca="1" si="16"/>
        <v/>
      </c>
      <c r="G183" s="23">
        <f t="shared" ca="1" si="19"/>
        <v>51629</v>
      </c>
      <c r="H183" s="24" t="str">
        <f t="shared" si="17"/>
        <v/>
      </c>
      <c r="I183" s="25" t="e">
        <f ca="1">IF($G183="Всього:",SUM($I$4:I182),MAX($C$32,K183))</f>
        <v>#VALUE!</v>
      </c>
      <c r="J183" s="25" t="e">
        <f ca="1">IF($G183="Всього:",SUM($J$4:J182),IF(I183-SUM(K183:L183)&lt;0,0,I183-SUM(K183:L183)))</f>
        <v>#VALUE!</v>
      </c>
      <c r="K183" s="25" t="e">
        <f ca="1">IF(G183="Всього:",SUM($K$5:K182),F183*O182/36000*(G183-G182))</f>
        <v>#VALUE!</v>
      </c>
      <c r="L183" s="25" t="e">
        <f ca="1">IF(G183="Всього:",SUM($L$5:L182),$E$4)</f>
        <v>#DIV/0!</v>
      </c>
      <c r="M183" s="25" t="e">
        <f ca="1">IF(G183="Всього:",SUM($M$5:M182),IF($E$5="UAH",J183+L183+K183,J183+K183))</f>
        <v>#VALUE!</v>
      </c>
      <c r="N183" s="27" t="str">
        <f ca="1">IF(G183="Всього:",SUM($N$4:N182),IF($E$5="UAH","",L183))</f>
        <v/>
      </c>
      <c r="O183" s="25" t="e">
        <f t="shared" ca="1" si="14"/>
        <v>#DIV/0!</v>
      </c>
      <c r="P183" s="33">
        <f t="shared" ca="1" si="15"/>
        <v>51629</v>
      </c>
      <c r="Q183" s="8" t="e">
        <f t="shared" ca="1" si="20"/>
        <v>#VALUE!</v>
      </c>
    </row>
    <row r="184" spans="6:17" s="8" customFormat="1" ht="13.2" x14ac:dyDescent="0.25">
      <c r="F184" s="34" t="str">
        <f t="shared" ca="1" si="16"/>
        <v/>
      </c>
      <c r="G184" s="23">
        <f t="shared" ca="1" si="19"/>
        <v>51660</v>
      </c>
      <c r="H184" s="24" t="str">
        <f t="shared" si="17"/>
        <v/>
      </c>
      <c r="I184" s="25" t="e">
        <f ca="1">IF($G184="Всього:",SUM($I$4:I183),MAX($C$32,K184))</f>
        <v>#VALUE!</v>
      </c>
      <c r="J184" s="25" t="e">
        <f ca="1">IF($G184="Всього:",SUM($J$4:J183),IF(I184-SUM(K184:L184)&lt;0,0,I184-SUM(K184:L184)))</f>
        <v>#VALUE!</v>
      </c>
      <c r="K184" s="25" t="e">
        <f ca="1">IF(G184="Всього:",SUM($K$5:K183),F184*O183/36000*(G184-G183))</f>
        <v>#VALUE!</v>
      </c>
      <c r="L184" s="25" t="e">
        <f ca="1">IF(G184="Всього:",SUM($L$5:L183),$E$4)</f>
        <v>#DIV/0!</v>
      </c>
      <c r="M184" s="25" t="e">
        <f ca="1">IF(G184="Всього:",SUM($M$5:M183),IF($E$5="UAH",J184+L184+K184,J184+K184))</f>
        <v>#VALUE!</v>
      </c>
      <c r="N184" s="27" t="str">
        <f ca="1">IF(G184="Всього:",SUM($N$4:N183),IF($E$5="UAH","",L184))</f>
        <v/>
      </c>
      <c r="O184" s="25" t="e">
        <f t="shared" ca="1" si="14"/>
        <v>#DIV/0!</v>
      </c>
      <c r="P184" s="33">
        <f t="shared" ca="1" si="15"/>
        <v>51660</v>
      </c>
      <c r="Q184" s="8" t="e">
        <f t="shared" ca="1" si="20"/>
        <v>#VALUE!</v>
      </c>
    </row>
    <row r="185" spans="6:17" s="8" customFormat="1" ht="13.2" x14ac:dyDescent="0.25">
      <c r="F185" s="34" t="str">
        <f t="shared" ca="1" si="16"/>
        <v/>
      </c>
      <c r="G185" s="23">
        <f t="shared" ca="1" si="19"/>
        <v>51690</v>
      </c>
      <c r="H185" s="24" t="str">
        <f t="shared" si="17"/>
        <v/>
      </c>
      <c r="I185" s="25" t="e">
        <f ca="1">IF($G185="Всього:",SUM($I$4:I184),MAX($C$32,K185))</f>
        <v>#VALUE!</v>
      </c>
      <c r="J185" s="25" t="e">
        <f ca="1">IF($G185="Всього:",SUM($J$4:J184),IF(I185-SUM(K185:L185)&lt;0,0,I185-SUM(K185:L185)))</f>
        <v>#VALUE!</v>
      </c>
      <c r="K185" s="25" t="e">
        <f ca="1">IF(G185="Всього:",SUM($K$5:K184),F185*O184/36000*(G185-G184))</f>
        <v>#VALUE!</v>
      </c>
      <c r="L185" s="25" t="e">
        <f ca="1">IF(G185="Всього:",SUM($L$5:L184),$E$4)</f>
        <v>#DIV/0!</v>
      </c>
      <c r="M185" s="25" t="e">
        <f ca="1">IF(G185="Всього:",SUM($M$5:M184),IF($E$5="UAH",J185+L185+K185,J185+K185))</f>
        <v>#VALUE!</v>
      </c>
      <c r="N185" s="27" t="str">
        <f ca="1">IF(G185="Всього:",SUM($N$4:N184),IF($E$5="UAH","",L185))</f>
        <v/>
      </c>
      <c r="O185" s="25" t="e">
        <f t="shared" ca="1" si="14"/>
        <v>#DIV/0!</v>
      </c>
      <c r="P185" s="33">
        <f t="shared" ca="1" si="15"/>
        <v>51690</v>
      </c>
      <c r="Q185" s="8" t="e">
        <f t="shared" ca="1" si="20"/>
        <v>#VALUE!</v>
      </c>
    </row>
    <row r="186" spans="6:17" s="8" customFormat="1" ht="13.2" x14ac:dyDescent="0.25">
      <c r="F186" s="34" t="str">
        <f t="shared" ca="1" si="16"/>
        <v/>
      </c>
      <c r="G186" s="23">
        <f t="shared" ca="1" si="19"/>
        <v>51721</v>
      </c>
      <c r="H186" s="24" t="str">
        <f t="shared" si="17"/>
        <v/>
      </c>
      <c r="I186" s="25" t="e">
        <f ca="1">IF($G186="Всього:",SUM($I$4:I185),MAX($C$32,K186))</f>
        <v>#VALUE!</v>
      </c>
      <c r="J186" s="25" t="e">
        <f ca="1">IF($G186="Всього:",SUM($J$4:J185),IF(I186-SUM(K186:L186)&lt;0,0,I186-SUM(K186:L186)))</f>
        <v>#VALUE!</v>
      </c>
      <c r="K186" s="25" t="e">
        <f ca="1">IF(G186="Всього:",SUM($K$5:K185),F186*O185/36000*(G186-G185))</f>
        <v>#VALUE!</v>
      </c>
      <c r="L186" s="25" t="e">
        <f ca="1">IF(G186="Всього:",SUM($L$5:L185),$E$4)</f>
        <v>#DIV/0!</v>
      </c>
      <c r="M186" s="25" t="e">
        <f ca="1">IF(G186="Всього:",SUM($M$5:M185),IF($E$5="UAH",J186+L186+K186,J186+K186))</f>
        <v>#VALUE!</v>
      </c>
      <c r="N186" s="27" t="str">
        <f ca="1">IF(G186="Всього:",SUM($N$4:N185),IF($E$5="UAH","",L186))</f>
        <v/>
      </c>
      <c r="O186" s="25" t="e">
        <f t="shared" ca="1" si="14"/>
        <v>#DIV/0!</v>
      </c>
      <c r="P186" s="33">
        <f t="shared" ca="1" si="15"/>
        <v>51721</v>
      </c>
      <c r="Q186" s="8" t="e">
        <f t="shared" ca="1" si="20"/>
        <v>#VALUE!</v>
      </c>
    </row>
    <row r="187" spans="6:17" s="8" customFormat="1" ht="13.2" x14ac:dyDescent="0.25">
      <c r="F187" s="34" t="str">
        <f t="shared" ca="1" si="16"/>
        <v/>
      </c>
      <c r="G187" s="23">
        <f t="shared" ca="1" si="19"/>
        <v>51752</v>
      </c>
      <c r="H187" s="24" t="str">
        <f t="shared" si="17"/>
        <v/>
      </c>
      <c r="I187" s="25" t="e">
        <f ca="1">IF($G187="Всього:",SUM($I$4:I186),MAX($C$32,K187))</f>
        <v>#VALUE!</v>
      </c>
      <c r="J187" s="25" t="e">
        <f ca="1">IF($G187="Всього:",SUM($J$4:J186),IF(I187-SUM(K187:L187)&lt;0,0,I187-SUM(K187:L187)))</f>
        <v>#VALUE!</v>
      </c>
      <c r="K187" s="25" t="e">
        <f ca="1">IF(G187="Всього:",SUM($K$5:K186),F187*O186/36000*(G187-G186))</f>
        <v>#VALUE!</v>
      </c>
      <c r="L187" s="25" t="e">
        <f ca="1">IF(G187="Всього:",SUM($L$5:L186),$E$4)</f>
        <v>#DIV/0!</v>
      </c>
      <c r="M187" s="25" t="e">
        <f ca="1">IF(G187="Всього:",SUM($M$5:M186),IF($E$5="UAH",J187+L187+K187,J187+K187))</f>
        <v>#VALUE!</v>
      </c>
      <c r="N187" s="27" t="str">
        <f ca="1">IF(G187="Всього:",SUM($N$4:N186),IF($E$5="UAH","",L187))</f>
        <v/>
      </c>
      <c r="O187" s="25" t="e">
        <f t="shared" ca="1" si="14"/>
        <v>#DIV/0!</v>
      </c>
      <c r="P187" s="33">
        <f t="shared" ca="1" si="15"/>
        <v>51752</v>
      </c>
      <c r="Q187" s="8" t="e">
        <f t="shared" ca="1" si="20"/>
        <v>#VALUE!</v>
      </c>
    </row>
    <row r="188" spans="6:17" s="8" customFormat="1" ht="13.2" x14ac:dyDescent="0.25">
      <c r="F188" s="34" t="str">
        <f t="shared" ca="1" si="16"/>
        <v/>
      </c>
      <c r="G188" s="23">
        <f t="shared" ca="1" si="19"/>
        <v>51782</v>
      </c>
      <c r="H188" s="24" t="str">
        <f t="shared" si="17"/>
        <v/>
      </c>
      <c r="I188" s="25" t="e">
        <f ca="1">IF($G188="Всього:",SUM($I$4:I187),MAX($C$32,K188))</f>
        <v>#VALUE!</v>
      </c>
      <c r="J188" s="25" t="e">
        <f ca="1">IF($G188="Всього:",SUM($J$4:J187),IF(I188-SUM(K188:L188)&lt;0,0,I188-SUM(K188:L188)))</f>
        <v>#VALUE!</v>
      </c>
      <c r="K188" s="25" t="e">
        <f ca="1">IF(G188="Всього:",SUM($K$5:K187),F188*O187/36000*(G188-G187))</f>
        <v>#VALUE!</v>
      </c>
      <c r="L188" s="25" t="e">
        <f ca="1">IF(G188="Всього:",SUM($L$5:L187),$E$4)</f>
        <v>#DIV/0!</v>
      </c>
      <c r="M188" s="25" t="e">
        <f ca="1">IF(G188="Всього:",SUM($M$5:M187),IF($E$5="UAH",J188+L188+K188,J188+K188))</f>
        <v>#VALUE!</v>
      </c>
      <c r="N188" s="27" t="str">
        <f ca="1">IF(G188="Всього:",SUM($N$4:N187),IF($E$5="UAH","",L188))</f>
        <v/>
      </c>
      <c r="O188" s="25" t="e">
        <f t="shared" ca="1" si="14"/>
        <v>#DIV/0!</v>
      </c>
      <c r="P188" s="33">
        <f t="shared" ca="1" si="15"/>
        <v>51782</v>
      </c>
      <c r="Q188" s="8" t="e">
        <f t="shared" ca="1" si="20"/>
        <v>#VALUE!</v>
      </c>
    </row>
    <row r="189" spans="6:17" s="8" customFormat="1" ht="13.2" x14ac:dyDescent="0.25">
      <c r="F189" s="34" t="str">
        <f t="shared" ca="1" si="16"/>
        <v/>
      </c>
      <c r="G189" s="23">
        <f t="shared" ca="1" si="19"/>
        <v>51813</v>
      </c>
      <c r="H189" s="24" t="str">
        <f t="shared" si="17"/>
        <v/>
      </c>
      <c r="I189" s="25" t="e">
        <f ca="1">IF($G189="Всього:",SUM($I$4:I188),MAX($C$32,K189))</f>
        <v>#VALUE!</v>
      </c>
      <c r="J189" s="25" t="e">
        <f ca="1">IF($G189="Всього:",SUM($J$4:J188),IF(I189-SUM(K189:L189)&lt;0,0,I189-SUM(K189:L189)))</f>
        <v>#VALUE!</v>
      </c>
      <c r="K189" s="25" t="e">
        <f ca="1">IF(G189="Всього:",SUM($K$5:K188),F189*O188/36000*(G189-G188))</f>
        <v>#VALUE!</v>
      </c>
      <c r="L189" s="25" t="e">
        <f ca="1">IF(G189="Всього:",SUM($L$5:L188),$E$4)</f>
        <v>#DIV/0!</v>
      </c>
      <c r="M189" s="25" t="e">
        <f ca="1">IF(G189="Всього:",SUM($M$5:M188),IF($E$5="UAH",J189+L189+K189,J189+K189))</f>
        <v>#VALUE!</v>
      </c>
      <c r="N189" s="27" t="str">
        <f ca="1">IF(G189="Всього:",SUM($N$4:N188),IF($E$5="UAH","",L189))</f>
        <v/>
      </c>
      <c r="O189" s="25" t="e">
        <f t="shared" ca="1" si="14"/>
        <v>#DIV/0!</v>
      </c>
      <c r="P189" s="33">
        <f t="shared" ca="1" si="15"/>
        <v>51813</v>
      </c>
      <c r="Q189" s="8" t="e">
        <f t="shared" ca="1" si="20"/>
        <v>#VALUE!</v>
      </c>
    </row>
    <row r="190" spans="6:17" s="8" customFormat="1" ht="13.2" x14ac:dyDescent="0.25">
      <c r="F190" s="34" t="str">
        <f t="shared" ca="1" si="16"/>
        <v/>
      </c>
      <c r="G190" s="23">
        <f t="shared" ca="1" si="19"/>
        <v>51843</v>
      </c>
      <c r="H190" s="24" t="str">
        <f t="shared" si="17"/>
        <v/>
      </c>
      <c r="I190" s="25" t="e">
        <f ca="1">IF($G190="Всього:",SUM($I$4:I189),MAX($C$32,K190))</f>
        <v>#VALUE!</v>
      </c>
      <c r="J190" s="25" t="e">
        <f ca="1">IF($G190="Всього:",SUM($J$4:J189),IF(I190-SUM(K190:L190)&lt;0,0,I190-SUM(K190:L190)))</f>
        <v>#VALUE!</v>
      </c>
      <c r="K190" s="25" t="e">
        <f ca="1">IF(G190="Всього:",SUM($K$5:K189),F190*O189/36000*(G190-G189))</f>
        <v>#VALUE!</v>
      </c>
      <c r="L190" s="25" t="e">
        <f ca="1">IF(G190="Всього:",SUM($L$5:L189),$E$4)</f>
        <v>#DIV/0!</v>
      </c>
      <c r="M190" s="25" t="e">
        <f ca="1">IF(G190="Всього:",SUM($M$5:M189),IF($E$5="UAH",J190+L190+K190,J190+K190))</f>
        <v>#VALUE!</v>
      </c>
      <c r="N190" s="27" t="str">
        <f ca="1">IF(G190="Всього:",SUM($N$4:N189),IF($E$5="UAH","",L190))</f>
        <v/>
      </c>
      <c r="O190" s="25" t="e">
        <f t="shared" ca="1" si="14"/>
        <v>#DIV/0!</v>
      </c>
      <c r="P190" s="33">
        <f t="shared" ca="1" si="15"/>
        <v>51843</v>
      </c>
      <c r="Q190" s="8" t="e">
        <f t="shared" ca="1" si="20"/>
        <v>#VALUE!</v>
      </c>
    </row>
    <row r="191" spans="6:17" s="8" customFormat="1" ht="13.2" x14ac:dyDescent="0.25">
      <c r="F191" s="34" t="str">
        <f t="shared" ca="1" si="16"/>
        <v/>
      </c>
      <c r="G191" s="23">
        <f t="shared" ca="1" si="19"/>
        <v>51874</v>
      </c>
      <c r="H191" s="24" t="str">
        <f t="shared" si="17"/>
        <v/>
      </c>
      <c r="I191" s="25" t="e">
        <f ca="1">IF($G191="Всього:",SUM($I$4:I190),MAX($C$32,K191))</f>
        <v>#VALUE!</v>
      </c>
      <c r="J191" s="25" t="e">
        <f ca="1">IF($G191="Всього:",SUM($J$4:J190),IF(I191-SUM(K191:L191)&lt;0,0,I191-SUM(K191:L191)))</f>
        <v>#VALUE!</v>
      </c>
      <c r="K191" s="25" t="e">
        <f ca="1">IF(G191="Всього:",SUM($K$5:K190),F191*O190/36000*(G191-G190))</f>
        <v>#VALUE!</v>
      </c>
      <c r="L191" s="25" t="e">
        <f ca="1">IF(G191="Всього:",SUM($L$5:L190),$E$4)</f>
        <v>#DIV/0!</v>
      </c>
      <c r="M191" s="25" t="e">
        <f ca="1">IF(G191="Всього:",SUM($M$5:M190),IF($E$5="UAH",J191+L191+K191,J191+K191))</f>
        <v>#VALUE!</v>
      </c>
      <c r="N191" s="27" t="str">
        <f ca="1">IF(G191="Всього:",SUM($N$4:N190),IF($E$5="UAH","",L191))</f>
        <v/>
      </c>
      <c r="O191" s="25" t="e">
        <f t="shared" ca="1" si="14"/>
        <v>#DIV/0!</v>
      </c>
      <c r="P191" s="33">
        <f t="shared" ca="1" si="15"/>
        <v>51874</v>
      </c>
      <c r="Q191" s="8" t="e">
        <f t="shared" ca="1" si="20"/>
        <v>#VALUE!</v>
      </c>
    </row>
    <row r="192" spans="6:17" s="8" customFormat="1" ht="13.2" x14ac:dyDescent="0.25">
      <c r="F192" s="34" t="str">
        <f t="shared" ca="1" si="16"/>
        <v/>
      </c>
      <c r="G192" s="23">
        <f t="shared" ca="1" si="19"/>
        <v>51905</v>
      </c>
      <c r="H192" s="24" t="str">
        <f t="shared" si="17"/>
        <v/>
      </c>
      <c r="I192" s="25" t="e">
        <f ca="1">IF($G192="Всього:",SUM($I$4:I191),MAX($C$32,K192))</f>
        <v>#VALUE!</v>
      </c>
      <c r="J192" s="25" t="e">
        <f ca="1">IF($G192="Всього:",SUM($J$4:J191),IF(I192-SUM(K192:L192)&lt;0,0,I192-SUM(K192:L192)))</f>
        <v>#VALUE!</v>
      </c>
      <c r="K192" s="25" t="e">
        <f ca="1">IF(G192="Всього:",SUM($K$5:K191),F192*O191/36000*(G192-G191))</f>
        <v>#VALUE!</v>
      </c>
      <c r="L192" s="25" t="e">
        <f ca="1">IF(G192="Всього:",SUM($L$5:L191),$E$4)</f>
        <v>#DIV/0!</v>
      </c>
      <c r="M192" s="25" t="e">
        <f ca="1">IF(G192="Всього:",SUM($M$5:M191),IF($E$5="UAH",J192+L192+K192,J192+K192))</f>
        <v>#VALUE!</v>
      </c>
      <c r="N192" s="27" t="str">
        <f ca="1">IF(G192="Всього:",SUM($N$4:N191),IF($E$5="UAH","",L192))</f>
        <v/>
      </c>
      <c r="O192" s="25" t="e">
        <f t="shared" ca="1" si="14"/>
        <v>#DIV/0!</v>
      </c>
      <c r="P192" s="33">
        <f t="shared" ca="1" si="15"/>
        <v>51905</v>
      </c>
      <c r="Q192" s="8" t="e">
        <f t="shared" ca="1" si="20"/>
        <v>#VALUE!</v>
      </c>
    </row>
    <row r="193" spans="6:17" s="8" customFormat="1" ht="13.2" x14ac:dyDescent="0.25">
      <c r="F193" s="34" t="str">
        <f t="shared" ca="1" si="16"/>
        <v/>
      </c>
      <c r="G193" s="23">
        <f t="shared" ca="1" si="19"/>
        <v>51933</v>
      </c>
      <c r="H193" s="24" t="str">
        <f t="shared" si="17"/>
        <v/>
      </c>
      <c r="I193" s="25" t="e">
        <f ca="1">IF($G193="Всього:",SUM($I$4:I192),MAX($C$32,K193))</f>
        <v>#VALUE!</v>
      </c>
      <c r="J193" s="25" t="e">
        <f ca="1">IF($G193="Всього:",SUM($J$4:J192),IF(I193-SUM(K193:L193)&lt;0,0,I193-SUM(K193:L193)))</f>
        <v>#VALUE!</v>
      </c>
      <c r="K193" s="25" t="e">
        <f ca="1">IF(G193="Всього:",SUM($K$5:K192),F193*O192/36000*(G193-G192))</f>
        <v>#VALUE!</v>
      </c>
      <c r="L193" s="25" t="e">
        <f ca="1">IF(G193="Всього:",SUM($L$5:L192),$E$4)</f>
        <v>#DIV/0!</v>
      </c>
      <c r="M193" s="25" t="e">
        <f ca="1">IF(G193="Всього:",SUM($M$5:M192),IF($E$5="UAH",J193+L193+K193,J193+K193))</f>
        <v>#VALUE!</v>
      </c>
      <c r="N193" s="27" t="str">
        <f ca="1">IF(G193="Всього:",SUM($N$4:N192),IF($E$5="UAH","",L193))</f>
        <v/>
      </c>
      <c r="O193" s="25" t="e">
        <f t="shared" ca="1" si="14"/>
        <v>#DIV/0!</v>
      </c>
      <c r="P193" s="33">
        <f t="shared" ca="1" si="15"/>
        <v>51933</v>
      </c>
      <c r="Q193" s="8" t="e">
        <f t="shared" ca="1" si="20"/>
        <v>#VALUE!</v>
      </c>
    </row>
    <row r="194" spans="6:17" s="8" customFormat="1" ht="13.2" x14ac:dyDescent="0.25">
      <c r="F194" s="34" t="str">
        <f t="shared" ca="1" si="16"/>
        <v/>
      </c>
      <c r="G194" s="23">
        <f t="shared" ca="1" si="19"/>
        <v>51964</v>
      </c>
      <c r="H194" s="24" t="str">
        <f t="shared" si="17"/>
        <v/>
      </c>
      <c r="I194" s="25" t="e">
        <f ca="1">IF($G194="Всього:",SUM($I$4:I193),MAX($C$32,K194))</f>
        <v>#VALUE!</v>
      </c>
      <c r="J194" s="25" t="e">
        <f ca="1">IF($G194="Всього:",SUM($J$4:J193),IF(I194-SUM(K194:L194)&lt;0,0,I194-SUM(K194:L194)))</f>
        <v>#VALUE!</v>
      </c>
      <c r="K194" s="25" t="e">
        <f ca="1">IF(G194="Всього:",SUM($K$5:K193),F194*O193/36000*(G194-G193))</f>
        <v>#VALUE!</v>
      </c>
      <c r="L194" s="25" t="e">
        <f ca="1">IF(G194="Всього:",SUM($L$5:L193),$E$4)</f>
        <v>#DIV/0!</v>
      </c>
      <c r="M194" s="25" t="e">
        <f ca="1">IF(G194="Всього:",SUM($M$5:M193),IF($E$5="UAH",J194+L194+K194,J194+K194))</f>
        <v>#VALUE!</v>
      </c>
      <c r="N194" s="27" t="str">
        <f ca="1">IF(G194="Всього:",SUM($N$4:N193),IF($E$5="UAH","",L194))</f>
        <v/>
      </c>
      <c r="O194" s="25" t="e">
        <f t="shared" ca="1" si="14"/>
        <v>#DIV/0!</v>
      </c>
      <c r="P194" s="33">
        <f t="shared" ca="1" si="15"/>
        <v>51964</v>
      </c>
      <c r="Q194" s="8" t="e">
        <f t="shared" ca="1" si="20"/>
        <v>#VALUE!</v>
      </c>
    </row>
    <row r="195" spans="6:17" s="8" customFormat="1" ht="13.2" x14ac:dyDescent="0.25">
      <c r="F195" s="34" t="str">
        <f t="shared" ca="1" si="16"/>
        <v/>
      </c>
      <c r="G195" s="23">
        <f t="shared" ca="1" si="19"/>
        <v>51994</v>
      </c>
      <c r="H195" s="24" t="str">
        <f t="shared" si="17"/>
        <v/>
      </c>
      <c r="I195" s="25" t="e">
        <f ca="1">IF($G195="Всього:",SUM($I$4:I194),MAX($C$32,K195))</f>
        <v>#VALUE!</v>
      </c>
      <c r="J195" s="25" t="e">
        <f ca="1">IF($G195="Всього:",SUM($J$4:J194),IF(I195-SUM(K195:L195)&lt;0,0,I195-SUM(K195:L195)))</f>
        <v>#VALUE!</v>
      </c>
      <c r="K195" s="25" t="e">
        <f ca="1">IF(G195="Всього:",SUM($K$5:K194),F195*O194/36000*(G195-G194))</f>
        <v>#VALUE!</v>
      </c>
      <c r="L195" s="25" t="e">
        <f ca="1">IF(G195="Всього:",SUM($L$5:L194),$E$4)</f>
        <v>#DIV/0!</v>
      </c>
      <c r="M195" s="25" t="e">
        <f ca="1">IF(G195="Всього:",SUM($M$5:M194),IF($E$5="UAH",J195+L195+K195,J195+K195))</f>
        <v>#VALUE!</v>
      </c>
      <c r="N195" s="27" t="str">
        <f ca="1">IF(G195="Всього:",SUM($N$4:N194),IF($E$5="UAH","",L195))</f>
        <v/>
      </c>
      <c r="O195" s="25" t="e">
        <f t="shared" ca="1" si="14"/>
        <v>#DIV/0!</v>
      </c>
      <c r="P195" s="33">
        <f t="shared" ca="1" si="15"/>
        <v>51994</v>
      </c>
      <c r="Q195" s="8" t="e">
        <f t="shared" ca="1" si="20"/>
        <v>#VALUE!</v>
      </c>
    </row>
    <row r="196" spans="6:17" s="8" customFormat="1" ht="13.2" x14ac:dyDescent="0.25">
      <c r="F196" s="34" t="str">
        <f t="shared" ca="1" si="16"/>
        <v/>
      </c>
      <c r="G196" s="23">
        <f t="shared" ca="1" si="19"/>
        <v>52025</v>
      </c>
      <c r="H196" s="24" t="str">
        <f t="shared" si="17"/>
        <v/>
      </c>
      <c r="I196" s="25" t="e">
        <f ca="1">IF($G196="Всього:",SUM($I$4:I195),MAX($C$32,K196))</f>
        <v>#VALUE!</v>
      </c>
      <c r="J196" s="25" t="e">
        <f ca="1">IF($G196="Всього:",SUM($J$4:J195),IF(I196-SUM(K196:L196)&lt;0,0,I196-SUM(K196:L196)))</f>
        <v>#VALUE!</v>
      </c>
      <c r="K196" s="25" t="e">
        <f ca="1">IF(G196="Всього:",SUM($K$5:K195),F196*O195/36000*(G196-G195))</f>
        <v>#VALUE!</v>
      </c>
      <c r="L196" s="25" t="e">
        <f ca="1">IF(G196="Всього:",SUM($L$5:L195),$E$4)</f>
        <v>#DIV/0!</v>
      </c>
      <c r="M196" s="25" t="e">
        <f ca="1">IF(G196="Всього:",SUM($M$5:M195),IF($E$5="UAH",J196+L196+K196,J196+K196))</f>
        <v>#VALUE!</v>
      </c>
      <c r="N196" s="27" t="str">
        <f ca="1">IF(G196="Всього:",SUM($N$4:N195),IF($E$5="UAH","",L196))</f>
        <v/>
      </c>
      <c r="O196" s="25" t="e">
        <f t="shared" ca="1" si="14"/>
        <v>#DIV/0!</v>
      </c>
      <c r="P196" s="33">
        <f t="shared" ca="1" si="15"/>
        <v>52025</v>
      </c>
      <c r="Q196" s="8" t="e">
        <f t="shared" ca="1" si="20"/>
        <v>#VALUE!</v>
      </c>
    </row>
    <row r="197" spans="6:17" s="8" customFormat="1" ht="13.2" x14ac:dyDescent="0.25">
      <c r="F197" s="34" t="str">
        <f t="shared" ca="1" si="16"/>
        <v/>
      </c>
      <c r="G197" s="23">
        <f t="shared" ca="1" si="19"/>
        <v>52055</v>
      </c>
      <c r="H197" s="24" t="str">
        <f t="shared" si="17"/>
        <v/>
      </c>
      <c r="I197" s="25" t="e">
        <f ca="1">IF($G197="Всього:",SUM($I$4:I196),MAX($C$32,K197))</f>
        <v>#VALUE!</v>
      </c>
      <c r="J197" s="25" t="e">
        <f ca="1">IF($G197="Всього:",SUM($J$4:J196),IF(I197-SUM(K197:L197)&lt;0,0,I197-SUM(K197:L197)))</f>
        <v>#VALUE!</v>
      </c>
      <c r="K197" s="25" t="e">
        <f ca="1">IF(G197="Всього:",SUM($K$5:K196),F197*O196/36000*(G197-G196))</f>
        <v>#VALUE!</v>
      </c>
      <c r="L197" s="25" t="e">
        <f ca="1">IF(G197="Всього:",SUM($L$5:L196),$E$4)</f>
        <v>#DIV/0!</v>
      </c>
      <c r="M197" s="25" t="e">
        <f ca="1">IF(G197="Всього:",SUM($M$5:M196),IF($E$5="UAH",J197+L197+K197,J197+K197))</f>
        <v>#VALUE!</v>
      </c>
      <c r="N197" s="27" t="str">
        <f ca="1">IF(G197="Всього:",SUM($N$4:N196),IF($E$5="UAH","",L197))</f>
        <v/>
      </c>
      <c r="O197" s="25" t="e">
        <f t="shared" ref="O197:O248" ca="1" si="21">O196-J197</f>
        <v>#DIV/0!</v>
      </c>
      <c r="P197" s="33">
        <f t="shared" ref="P197:P246" ca="1" si="22">G197</f>
        <v>52055</v>
      </c>
      <c r="Q197" s="8" t="e">
        <f t="shared" ca="1" si="20"/>
        <v>#VALUE!</v>
      </c>
    </row>
    <row r="198" spans="6:17" s="8" customFormat="1" ht="13.2" x14ac:dyDescent="0.25">
      <c r="F198" s="34" t="str">
        <f t="shared" ref="F198:F247" ca="1" si="23">IF(G198="Всього:","",IF(AND(G198&gt;$B$9,G198&lt;=$B$10),$C$16,IF(AND(G198&gt;$B$9,G198&lt;=$B$11),$D$16,IF(AND(G198&gt;$B$10,G198&lt;=$B$14),$E$16,$B$16))))</f>
        <v/>
      </c>
      <c r="G198" s="23">
        <f t="shared" ca="1" si="19"/>
        <v>52086</v>
      </c>
      <c r="H198" s="24" t="str">
        <f t="shared" ref="H198:H247" si="24">IF(H197&gt;$E$8,"",H197+1)</f>
        <v/>
      </c>
      <c r="I198" s="25" t="e">
        <f ca="1">IF($G198="Всього:",SUM($I$4:I197),MAX($C$32,K198))</f>
        <v>#VALUE!</v>
      </c>
      <c r="J198" s="25" t="e">
        <f ca="1">IF($G198="Всього:",SUM($J$4:J197),IF(I198-SUM(K198:L198)&lt;0,0,I198-SUM(K198:L198)))</f>
        <v>#VALUE!</v>
      </c>
      <c r="K198" s="25" t="e">
        <f ca="1">IF(G198="Всього:",SUM($K$5:K197),F198*O197/36000*(G198-G197))</f>
        <v>#VALUE!</v>
      </c>
      <c r="L198" s="25" t="e">
        <f ca="1">IF(G198="Всього:",SUM($L$5:L197),$E$4)</f>
        <v>#DIV/0!</v>
      </c>
      <c r="M198" s="25" t="e">
        <f ca="1">IF(G198="Всього:",SUM($M$5:M197),IF($E$5="UAH",J198+L198+K198,J198+K198))</f>
        <v>#VALUE!</v>
      </c>
      <c r="N198" s="27" t="str">
        <f ca="1">IF(G198="Всього:",SUM($N$4:N197),IF($E$5="UAH","",L198))</f>
        <v/>
      </c>
      <c r="O198" s="25" t="e">
        <f t="shared" ca="1" si="21"/>
        <v>#DIV/0!</v>
      </c>
      <c r="P198" s="33">
        <f t="shared" ca="1" si="22"/>
        <v>52086</v>
      </c>
      <c r="Q198" s="8" t="e">
        <f t="shared" ref="Q198:Q246" ca="1" si="25">IF(R199="",I198,IFERROR(I198+R199,0))</f>
        <v>#VALUE!</v>
      </c>
    </row>
    <row r="199" spans="6:17" s="8" customFormat="1" ht="13.2" x14ac:dyDescent="0.25">
      <c r="F199" s="34" t="str">
        <f t="shared" ca="1" si="23"/>
        <v/>
      </c>
      <c r="G199" s="23">
        <f t="shared" ref="G199:G247" ca="1" si="26">IF(H198=$E$3,"Всього:",IF($E$3=H199,$B$14,DATE(YEAR(G198),MONTH(G198)+1,IF($B$7&lt;&gt;"",DAY(IF($B$7&gt;DAY(EOMONTH(G198,1)),EOMONTH(G198,1),$B$7)),DAY(1)))))</f>
        <v>52117</v>
      </c>
      <c r="H199" s="24" t="str">
        <f t="shared" si="24"/>
        <v/>
      </c>
      <c r="I199" s="25" t="e">
        <f ca="1">IF($G199="Всього:",SUM($I$4:I198),MAX($C$32,K199))</f>
        <v>#VALUE!</v>
      </c>
      <c r="J199" s="25" t="e">
        <f ca="1">IF($G199="Всього:",SUM($J$4:J198),IF(I199-SUM(K199:L199)&lt;0,0,I199-SUM(K199:L199)))</f>
        <v>#VALUE!</v>
      </c>
      <c r="K199" s="25" t="e">
        <f ca="1">IF(G199="Всього:",SUM($K$5:K198),F199*O198/36000*(G199-G198))</f>
        <v>#VALUE!</v>
      </c>
      <c r="L199" s="25" t="e">
        <f ca="1">IF(G199="Всього:",SUM($L$5:L198),$E$4)</f>
        <v>#DIV/0!</v>
      </c>
      <c r="M199" s="25" t="e">
        <f ca="1">IF(G199="Всього:",SUM($M$5:M198),IF($E$5="UAH",J199+L199+K199,J199+K199))</f>
        <v>#VALUE!</v>
      </c>
      <c r="N199" s="27" t="str">
        <f ca="1">IF(G199="Всього:",SUM($N$4:N198),IF($E$5="UAH","",L199))</f>
        <v/>
      </c>
      <c r="O199" s="25" t="e">
        <f t="shared" ca="1" si="21"/>
        <v>#DIV/0!</v>
      </c>
      <c r="P199" s="33">
        <f t="shared" ca="1" si="22"/>
        <v>52117</v>
      </c>
      <c r="Q199" s="8" t="e">
        <f t="shared" ca="1" si="25"/>
        <v>#VALUE!</v>
      </c>
    </row>
    <row r="200" spans="6:17" s="8" customFormat="1" ht="13.2" x14ac:dyDescent="0.25">
      <c r="F200" s="34" t="str">
        <f t="shared" ca="1" si="23"/>
        <v/>
      </c>
      <c r="G200" s="23">
        <f t="shared" ca="1" si="26"/>
        <v>52147</v>
      </c>
      <c r="H200" s="24" t="str">
        <f t="shared" si="24"/>
        <v/>
      </c>
      <c r="I200" s="25" t="e">
        <f ca="1">IF($G200="Всього:",SUM($I$4:I199),MAX($C$32,K200))</f>
        <v>#VALUE!</v>
      </c>
      <c r="J200" s="25" t="e">
        <f ca="1">IF($G200="Всього:",SUM($J$4:J199),IF(I200-SUM(K200:L200)&lt;0,0,I200-SUM(K200:L200)))</f>
        <v>#VALUE!</v>
      </c>
      <c r="K200" s="25" t="e">
        <f ca="1">IF(G200="Всього:",SUM($K$5:K199),F200*O199/36000*(G200-G199))</f>
        <v>#VALUE!</v>
      </c>
      <c r="L200" s="25" t="e">
        <f ca="1">IF(G200="Всього:",SUM($L$5:L199),$E$4)</f>
        <v>#DIV/0!</v>
      </c>
      <c r="M200" s="25" t="e">
        <f ca="1">IF(G200="Всього:",SUM($M$5:M199),IF($E$5="UAH",J200+L200+K200,J200+K200))</f>
        <v>#VALUE!</v>
      </c>
      <c r="N200" s="27" t="str">
        <f ca="1">IF(G200="Всього:",SUM($N$4:N199),IF($E$5="UAH","",L200))</f>
        <v/>
      </c>
      <c r="O200" s="25" t="e">
        <f t="shared" ca="1" si="21"/>
        <v>#DIV/0!</v>
      </c>
      <c r="P200" s="33">
        <f t="shared" ca="1" si="22"/>
        <v>52147</v>
      </c>
      <c r="Q200" s="8" t="e">
        <f t="shared" ca="1" si="25"/>
        <v>#VALUE!</v>
      </c>
    </row>
    <row r="201" spans="6:17" s="8" customFormat="1" ht="13.2" x14ac:dyDescent="0.25">
      <c r="F201" s="34" t="str">
        <f t="shared" ca="1" si="23"/>
        <v/>
      </c>
      <c r="G201" s="23">
        <f t="shared" ca="1" si="26"/>
        <v>52178</v>
      </c>
      <c r="H201" s="24" t="str">
        <f t="shared" si="24"/>
        <v/>
      </c>
      <c r="I201" s="25" t="e">
        <f ca="1">IF($G201="Всього:",SUM($I$4:I200),MAX($C$32,K201))</f>
        <v>#VALUE!</v>
      </c>
      <c r="J201" s="25" t="e">
        <f ca="1">IF($G201="Всього:",SUM($J$4:J200),IF(I201-SUM(K201:L201)&lt;0,0,I201-SUM(K201:L201)))</f>
        <v>#VALUE!</v>
      </c>
      <c r="K201" s="25" t="e">
        <f ca="1">IF(G201="Всього:",SUM($K$5:K200),F201*O200/36000*(G201-G200))</f>
        <v>#VALUE!</v>
      </c>
      <c r="L201" s="25" t="e">
        <f ca="1">IF(G201="Всього:",SUM($L$5:L200),$E$4)</f>
        <v>#DIV/0!</v>
      </c>
      <c r="M201" s="25" t="e">
        <f ca="1">IF(G201="Всього:",SUM($M$5:M200),IF($E$5="UAH",J201+L201+K201,J201+K201))</f>
        <v>#VALUE!</v>
      </c>
      <c r="N201" s="27" t="str">
        <f ca="1">IF(G201="Всього:",SUM($N$4:N200),IF($E$5="UAH","",L201))</f>
        <v/>
      </c>
      <c r="O201" s="25" t="e">
        <f t="shared" ca="1" si="21"/>
        <v>#DIV/0!</v>
      </c>
      <c r="P201" s="33">
        <f t="shared" ca="1" si="22"/>
        <v>52178</v>
      </c>
      <c r="Q201" s="8" t="e">
        <f t="shared" ca="1" si="25"/>
        <v>#VALUE!</v>
      </c>
    </row>
    <row r="202" spans="6:17" s="8" customFormat="1" ht="13.2" x14ac:dyDescent="0.25">
      <c r="F202" s="34" t="str">
        <f t="shared" ca="1" si="23"/>
        <v/>
      </c>
      <c r="G202" s="23">
        <f t="shared" ca="1" si="26"/>
        <v>52208</v>
      </c>
      <c r="H202" s="24" t="str">
        <f t="shared" si="24"/>
        <v/>
      </c>
      <c r="I202" s="25" t="e">
        <f ca="1">IF($G202="Всього:",SUM($I$4:I201),MAX($C$32,K202))</f>
        <v>#VALUE!</v>
      </c>
      <c r="J202" s="25" t="e">
        <f ca="1">IF($G202="Всього:",SUM($J$4:J201),IF(I202-SUM(K202:L202)&lt;0,0,I202-SUM(K202:L202)))</f>
        <v>#VALUE!</v>
      </c>
      <c r="K202" s="25" t="e">
        <f ca="1">IF(G202="Всього:",SUM($K$5:K201),F202*O201/36000*(G202-G201))</f>
        <v>#VALUE!</v>
      </c>
      <c r="L202" s="25" t="e">
        <f ca="1">IF(G202="Всього:",SUM($L$5:L201),$E$4)</f>
        <v>#DIV/0!</v>
      </c>
      <c r="M202" s="25" t="e">
        <f ca="1">IF(G202="Всього:",SUM($M$5:M201),IF($E$5="UAH",J202+L202+K202,J202+K202))</f>
        <v>#VALUE!</v>
      </c>
      <c r="N202" s="27" t="str">
        <f ca="1">IF(G202="Всього:",SUM($N$4:N201),IF($E$5="UAH","",L202))</f>
        <v/>
      </c>
      <c r="O202" s="25" t="e">
        <f t="shared" ca="1" si="21"/>
        <v>#DIV/0!</v>
      </c>
      <c r="P202" s="33">
        <f t="shared" ca="1" si="22"/>
        <v>52208</v>
      </c>
      <c r="Q202" s="8" t="e">
        <f t="shared" ca="1" si="25"/>
        <v>#VALUE!</v>
      </c>
    </row>
    <row r="203" spans="6:17" s="8" customFormat="1" ht="13.2" x14ac:dyDescent="0.25">
      <c r="F203" s="34" t="str">
        <f t="shared" ca="1" si="23"/>
        <v/>
      </c>
      <c r="G203" s="23">
        <f t="shared" ca="1" si="26"/>
        <v>52239</v>
      </c>
      <c r="H203" s="24" t="str">
        <f t="shared" si="24"/>
        <v/>
      </c>
      <c r="I203" s="25" t="e">
        <f ca="1">IF($G203="Всього:",SUM($I$4:I202),MAX($C$32,K203))</f>
        <v>#VALUE!</v>
      </c>
      <c r="J203" s="25" t="e">
        <f ca="1">IF($G203="Всього:",SUM($J$4:J202),IF(I203-SUM(K203:L203)&lt;0,0,I203-SUM(K203:L203)))</f>
        <v>#VALUE!</v>
      </c>
      <c r="K203" s="25" t="e">
        <f ca="1">IF(G203="Всього:",SUM($K$5:K202),F203*O202/36000*(G203-G202))</f>
        <v>#VALUE!</v>
      </c>
      <c r="L203" s="25" t="e">
        <f ca="1">IF(G203="Всього:",SUM($L$5:L202),$E$4)</f>
        <v>#DIV/0!</v>
      </c>
      <c r="M203" s="25" t="e">
        <f ca="1">IF(G203="Всього:",SUM($M$5:M202),IF($E$5="UAH",J203+L203+K203,J203+K203))</f>
        <v>#VALUE!</v>
      </c>
      <c r="N203" s="27" t="str">
        <f ca="1">IF(G203="Всього:",SUM($N$4:N202),IF($E$5="UAH","",L203))</f>
        <v/>
      </c>
      <c r="O203" s="25" t="e">
        <f t="shared" ca="1" si="21"/>
        <v>#DIV/0!</v>
      </c>
      <c r="P203" s="33">
        <f t="shared" ca="1" si="22"/>
        <v>52239</v>
      </c>
      <c r="Q203" s="8" t="e">
        <f t="shared" ca="1" si="25"/>
        <v>#VALUE!</v>
      </c>
    </row>
    <row r="204" spans="6:17" s="8" customFormat="1" ht="13.2" x14ac:dyDescent="0.25">
      <c r="F204" s="34" t="str">
        <f t="shared" ca="1" si="23"/>
        <v/>
      </c>
      <c r="G204" s="23">
        <f t="shared" ca="1" si="26"/>
        <v>52270</v>
      </c>
      <c r="H204" s="24" t="str">
        <f t="shared" si="24"/>
        <v/>
      </c>
      <c r="I204" s="25" t="e">
        <f ca="1">IF($G204="Всього:",SUM($I$4:I203),MAX($C$32,K204))</f>
        <v>#VALUE!</v>
      </c>
      <c r="J204" s="25" t="e">
        <f ca="1">IF($G204="Всього:",SUM($J$4:J203),IF(I204-SUM(K204:L204)&lt;0,0,I204-SUM(K204:L204)))</f>
        <v>#VALUE!</v>
      </c>
      <c r="K204" s="25" t="e">
        <f ca="1">IF(G204="Всього:",SUM($K$5:K203),F204*O203/36000*(G204-G203))</f>
        <v>#VALUE!</v>
      </c>
      <c r="L204" s="25" t="e">
        <f ca="1">IF(G204="Всього:",SUM($L$5:L203),$E$4)</f>
        <v>#DIV/0!</v>
      </c>
      <c r="M204" s="25" t="e">
        <f ca="1">IF(G204="Всього:",SUM($M$5:M203),IF($E$5="UAH",J204+L204+K204,J204+K204))</f>
        <v>#VALUE!</v>
      </c>
      <c r="N204" s="27" t="str">
        <f ca="1">IF(G204="Всього:",SUM($N$4:N203),IF($E$5="UAH","",L204))</f>
        <v/>
      </c>
      <c r="O204" s="25" t="e">
        <f t="shared" ca="1" si="21"/>
        <v>#DIV/0!</v>
      </c>
      <c r="P204" s="33">
        <f t="shared" ca="1" si="22"/>
        <v>52270</v>
      </c>
      <c r="Q204" s="8" t="e">
        <f t="shared" ca="1" si="25"/>
        <v>#VALUE!</v>
      </c>
    </row>
    <row r="205" spans="6:17" s="8" customFormat="1" ht="13.2" x14ac:dyDescent="0.25">
      <c r="F205" s="34" t="str">
        <f t="shared" ca="1" si="23"/>
        <v/>
      </c>
      <c r="G205" s="23">
        <f t="shared" ca="1" si="26"/>
        <v>52298</v>
      </c>
      <c r="H205" s="24" t="str">
        <f t="shared" si="24"/>
        <v/>
      </c>
      <c r="I205" s="25" t="e">
        <f ca="1">IF($G205="Всього:",SUM($I$4:I204),MAX($C$32,K205))</f>
        <v>#VALUE!</v>
      </c>
      <c r="J205" s="25" t="e">
        <f ca="1">IF($G205="Всього:",SUM($J$4:J204),IF(I205-SUM(K205:L205)&lt;0,0,I205-SUM(K205:L205)))</f>
        <v>#VALUE!</v>
      </c>
      <c r="K205" s="25" t="e">
        <f ca="1">IF(G205="Всього:",SUM($K$5:K204),F205*O204/36000*(G205-G204))</f>
        <v>#VALUE!</v>
      </c>
      <c r="L205" s="25" t="e">
        <f ca="1">IF(G205="Всього:",SUM($L$5:L204),$E$4)</f>
        <v>#DIV/0!</v>
      </c>
      <c r="M205" s="25" t="e">
        <f ca="1">IF(G205="Всього:",SUM($M$5:M204),IF($E$5="UAH",J205+L205+K205,J205+K205))</f>
        <v>#VALUE!</v>
      </c>
      <c r="N205" s="27" t="str">
        <f ca="1">IF(G205="Всього:",SUM($N$4:N204),IF($E$5="UAH","",L205))</f>
        <v/>
      </c>
      <c r="O205" s="25" t="e">
        <f t="shared" ca="1" si="21"/>
        <v>#DIV/0!</v>
      </c>
      <c r="P205" s="33">
        <f t="shared" ca="1" si="22"/>
        <v>52298</v>
      </c>
      <c r="Q205" s="8" t="e">
        <f t="shared" ca="1" si="25"/>
        <v>#VALUE!</v>
      </c>
    </row>
    <row r="206" spans="6:17" s="8" customFormat="1" ht="13.2" x14ac:dyDescent="0.25">
      <c r="F206" s="34" t="str">
        <f t="shared" ca="1" si="23"/>
        <v/>
      </c>
      <c r="G206" s="23">
        <f t="shared" ca="1" si="26"/>
        <v>52329</v>
      </c>
      <c r="H206" s="24" t="str">
        <f t="shared" si="24"/>
        <v/>
      </c>
      <c r="I206" s="25" t="e">
        <f ca="1">IF($G206="Всього:",SUM($I$4:I205),MAX($C$32,K206))</f>
        <v>#VALUE!</v>
      </c>
      <c r="J206" s="25" t="e">
        <f ca="1">IF($G206="Всього:",SUM($J$4:J205),IF(I206-SUM(K206:L206)&lt;0,0,I206-SUM(K206:L206)))</f>
        <v>#VALUE!</v>
      </c>
      <c r="K206" s="25" t="e">
        <f ca="1">IF(G206="Всього:",SUM($K$5:K205),F206*O205/36000*(G206-G205))</f>
        <v>#VALUE!</v>
      </c>
      <c r="L206" s="25" t="e">
        <f ca="1">IF(G206="Всього:",SUM($L$5:L205),$E$4)</f>
        <v>#DIV/0!</v>
      </c>
      <c r="M206" s="25" t="e">
        <f ca="1">IF(G206="Всього:",SUM($M$5:M205),IF($E$5="UAH",J206+L206+K206,J206+K206))</f>
        <v>#VALUE!</v>
      </c>
      <c r="N206" s="27" t="str">
        <f ca="1">IF(G206="Всього:",SUM($N$4:N205),IF($E$5="UAH","",L206))</f>
        <v/>
      </c>
      <c r="O206" s="25" t="e">
        <f t="shared" ca="1" si="21"/>
        <v>#DIV/0!</v>
      </c>
      <c r="P206" s="33">
        <f t="shared" ca="1" si="22"/>
        <v>52329</v>
      </c>
      <c r="Q206" s="8" t="e">
        <f t="shared" ca="1" si="25"/>
        <v>#VALUE!</v>
      </c>
    </row>
    <row r="207" spans="6:17" s="8" customFormat="1" ht="13.2" x14ac:dyDescent="0.25">
      <c r="F207" s="34" t="str">
        <f t="shared" ca="1" si="23"/>
        <v/>
      </c>
      <c r="G207" s="23">
        <f t="shared" ca="1" si="26"/>
        <v>52359</v>
      </c>
      <c r="H207" s="24" t="str">
        <f t="shared" si="24"/>
        <v/>
      </c>
      <c r="I207" s="25" t="e">
        <f ca="1">IF($G207="Всього:",SUM($I$4:I206),MAX($C$32,K207))</f>
        <v>#VALUE!</v>
      </c>
      <c r="J207" s="25" t="e">
        <f ca="1">IF($G207="Всього:",SUM($J$4:J206),IF(I207-SUM(K207:L207)&lt;0,0,I207-SUM(K207:L207)))</f>
        <v>#VALUE!</v>
      </c>
      <c r="K207" s="25" t="e">
        <f ca="1">IF(G207="Всього:",SUM($K$5:K206),F207*O206/36000*(G207-G206))</f>
        <v>#VALUE!</v>
      </c>
      <c r="L207" s="25" t="e">
        <f ca="1">IF(G207="Всього:",SUM($L$5:L206),$E$4)</f>
        <v>#DIV/0!</v>
      </c>
      <c r="M207" s="25" t="e">
        <f ca="1">IF(G207="Всього:",SUM($M$5:M206),IF($E$5="UAH",J207+L207+K207,J207+K207))</f>
        <v>#VALUE!</v>
      </c>
      <c r="N207" s="27" t="str">
        <f ca="1">IF(G207="Всього:",SUM($N$4:N206),IF($E$5="UAH","",L207))</f>
        <v/>
      </c>
      <c r="O207" s="25" t="e">
        <f t="shared" ca="1" si="21"/>
        <v>#DIV/0!</v>
      </c>
      <c r="P207" s="33">
        <f t="shared" ca="1" si="22"/>
        <v>52359</v>
      </c>
      <c r="Q207" s="8" t="e">
        <f t="shared" ca="1" si="25"/>
        <v>#VALUE!</v>
      </c>
    </row>
    <row r="208" spans="6:17" s="8" customFormat="1" ht="13.2" x14ac:dyDescent="0.25">
      <c r="F208" s="34" t="str">
        <f t="shared" ca="1" si="23"/>
        <v/>
      </c>
      <c r="G208" s="23">
        <f t="shared" ca="1" si="26"/>
        <v>52390</v>
      </c>
      <c r="H208" s="24" t="str">
        <f t="shared" si="24"/>
        <v/>
      </c>
      <c r="I208" s="25" t="e">
        <f ca="1">IF($G208="Всього:",SUM($I$4:I207),MAX($C$32,K208))</f>
        <v>#VALUE!</v>
      </c>
      <c r="J208" s="25" t="e">
        <f ca="1">IF($G208="Всього:",SUM($J$4:J207),IF(I208-SUM(K208:L208)&lt;0,0,I208-SUM(K208:L208)))</f>
        <v>#VALUE!</v>
      </c>
      <c r="K208" s="25" t="e">
        <f ca="1">IF(G208="Всього:",SUM($K$5:K207),F208*O207/36000*(G208-G207))</f>
        <v>#VALUE!</v>
      </c>
      <c r="L208" s="25" t="e">
        <f ca="1">IF(G208="Всього:",SUM($L$5:L207),$E$4)</f>
        <v>#DIV/0!</v>
      </c>
      <c r="M208" s="25" t="e">
        <f ca="1">IF(G208="Всього:",SUM($M$5:M207),IF($E$5="UAH",J208+L208+K208,J208+K208))</f>
        <v>#VALUE!</v>
      </c>
      <c r="N208" s="27" t="str">
        <f ca="1">IF(G208="Всього:",SUM($N$4:N207),IF($E$5="UAH","",L208))</f>
        <v/>
      </c>
      <c r="O208" s="25" t="e">
        <f t="shared" ca="1" si="21"/>
        <v>#DIV/0!</v>
      </c>
      <c r="P208" s="33">
        <f t="shared" ca="1" si="22"/>
        <v>52390</v>
      </c>
      <c r="Q208" s="8" t="e">
        <f t="shared" ca="1" si="25"/>
        <v>#VALUE!</v>
      </c>
    </row>
    <row r="209" spans="6:17" s="8" customFormat="1" ht="13.2" x14ac:dyDescent="0.25">
      <c r="F209" s="34" t="str">
        <f t="shared" ca="1" si="23"/>
        <v/>
      </c>
      <c r="G209" s="23">
        <f t="shared" ca="1" si="26"/>
        <v>52420</v>
      </c>
      <c r="H209" s="24" t="str">
        <f t="shared" si="24"/>
        <v/>
      </c>
      <c r="I209" s="25" t="e">
        <f ca="1">IF($G209="Всього:",SUM($I$4:I208),MAX($C$32,K209))</f>
        <v>#VALUE!</v>
      </c>
      <c r="J209" s="25" t="e">
        <f ca="1">IF($G209="Всього:",SUM($J$4:J208),IF(I209-SUM(K209:L209)&lt;0,0,I209-SUM(K209:L209)))</f>
        <v>#VALUE!</v>
      </c>
      <c r="K209" s="25" t="e">
        <f ca="1">IF(G209="Всього:",SUM($K$5:K208),F209*O208/36000*(G209-G208))</f>
        <v>#VALUE!</v>
      </c>
      <c r="L209" s="25" t="e">
        <f ca="1">IF(G209="Всього:",SUM($L$5:L208),$E$4)</f>
        <v>#DIV/0!</v>
      </c>
      <c r="M209" s="25" t="e">
        <f ca="1">IF(G209="Всього:",SUM($M$5:M208),IF($E$5="UAH",J209+L209+K209,J209+K209))</f>
        <v>#VALUE!</v>
      </c>
      <c r="N209" s="27" t="str">
        <f ca="1">IF(G209="Всього:",SUM($N$4:N208),IF($E$5="UAH","",L209))</f>
        <v/>
      </c>
      <c r="O209" s="25" t="e">
        <f t="shared" ca="1" si="21"/>
        <v>#DIV/0!</v>
      </c>
      <c r="P209" s="33">
        <f t="shared" ca="1" si="22"/>
        <v>52420</v>
      </c>
      <c r="Q209" s="8" t="e">
        <f t="shared" ca="1" si="25"/>
        <v>#VALUE!</v>
      </c>
    </row>
    <row r="210" spans="6:17" s="8" customFormat="1" ht="13.2" x14ac:dyDescent="0.25">
      <c r="F210" s="34" t="str">
        <f t="shared" ca="1" si="23"/>
        <v/>
      </c>
      <c r="G210" s="23">
        <f t="shared" ca="1" si="26"/>
        <v>52451</v>
      </c>
      <c r="H210" s="24" t="str">
        <f t="shared" si="24"/>
        <v/>
      </c>
      <c r="I210" s="25" t="e">
        <f ca="1">IF($G210="Всього:",SUM($I$4:I209),MAX($C$32,K210))</f>
        <v>#VALUE!</v>
      </c>
      <c r="J210" s="25" t="e">
        <f ca="1">IF($G210="Всього:",SUM($J$4:J209),IF(I210-SUM(K210:L210)&lt;0,0,I210-SUM(K210:L210)))</f>
        <v>#VALUE!</v>
      </c>
      <c r="K210" s="25" t="e">
        <f ca="1">IF(G210="Всього:",SUM($K$5:K209),F210*O209/36000*(G210-G209))</f>
        <v>#VALUE!</v>
      </c>
      <c r="L210" s="25" t="e">
        <f ca="1">IF(G210="Всього:",SUM($L$5:L209),$E$4)</f>
        <v>#DIV/0!</v>
      </c>
      <c r="M210" s="25" t="e">
        <f ca="1">IF(G210="Всього:",SUM($M$5:M209),IF($E$5="UAH",J210+L210+K210,J210+K210))</f>
        <v>#VALUE!</v>
      </c>
      <c r="N210" s="27" t="str">
        <f ca="1">IF(G210="Всього:",SUM($N$4:N209),IF($E$5="UAH","",L210))</f>
        <v/>
      </c>
      <c r="O210" s="25" t="e">
        <f t="shared" ca="1" si="21"/>
        <v>#DIV/0!</v>
      </c>
      <c r="P210" s="33">
        <f t="shared" ca="1" si="22"/>
        <v>52451</v>
      </c>
      <c r="Q210" s="8" t="e">
        <f t="shared" ca="1" si="25"/>
        <v>#VALUE!</v>
      </c>
    </row>
    <row r="211" spans="6:17" s="8" customFormat="1" ht="13.2" x14ac:dyDescent="0.25">
      <c r="F211" s="34" t="str">
        <f t="shared" ca="1" si="23"/>
        <v/>
      </c>
      <c r="G211" s="23">
        <f t="shared" ca="1" si="26"/>
        <v>52482</v>
      </c>
      <c r="H211" s="24" t="str">
        <f t="shared" si="24"/>
        <v/>
      </c>
      <c r="I211" s="25" t="e">
        <f ca="1">IF($G211="Всього:",SUM($I$4:I210),MAX($C$32,K211))</f>
        <v>#VALUE!</v>
      </c>
      <c r="J211" s="25" t="e">
        <f ca="1">IF($G211="Всього:",SUM($J$4:J210),IF(I211-SUM(K211:L211)&lt;0,0,I211-SUM(K211:L211)))</f>
        <v>#VALUE!</v>
      </c>
      <c r="K211" s="25" t="e">
        <f ca="1">IF(G211="Всього:",SUM($K$5:K210),F211*O210/36000*(G211-G210))</f>
        <v>#VALUE!</v>
      </c>
      <c r="L211" s="25" t="e">
        <f ca="1">IF(G211="Всього:",SUM($L$5:L210),$E$4)</f>
        <v>#DIV/0!</v>
      </c>
      <c r="M211" s="25" t="e">
        <f ca="1">IF(G211="Всього:",SUM($M$5:M210),IF($E$5="UAH",J211+L211+K211,J211+K211))</f>
        <v>#VALUE!</v>
      </c>
      <c r="N211" s="27" t="str">
        <f ca="1">IF(G211="Всього:",SUM($N$4:N210),IF($E$5="UAH","",L211))</f>
        <v/>
      </c>
      <c r="O211" s="25" t="e">
        <f t="shared" ca="1" si="21"/>
        <v>#DIV/0!</v>
      </c>
      <c r="P211" s="33">
        <f t="shared" ca="1" si="22"/>
        <v>52482</v>
      </c>
      <c r="Q211" s="8" t="e">
        <f t="shared" ca="1" si="25"/>
        <v>#VALUE!</v>
      </c>
    </row>
    <row r="212" spans="6:17" s="8" customFormat="1" ht="13.2" x14ac:dyDescent="0.25">
      <c r="F212" s="34" t="str">
        <f t="shared" ca="1" si="23"/>
        <v/>
      </c>
      <c r="G212" s="23">
        <f t="shared" ca="1" si="26"/>
        <v>52512</v>
      </c>
      <c r="H212" s="24" t="str">
        <f t="shared" si="24"/>
        <v/>
      </c>
      <c r="I212" s="25" t="e">
        <f ca="1">IF($G212="Всього:",SUM($I$4:I211),MAX($C$32,K212))</f>
        <v>#VALUE!</v>
      </c>
      <c r="J212" s="25" t="e">
        <f ca="1">IF($G212="Всього:",SUM($J$4:J211),IF(I212-SUM(K212:L212)&lt;0,0,I212-SUM(K212:L212)))</f>
        <v>#VALUE!</v>
      </c>
      <c r="K212" s="25" t="e">
        <f ca="1">IF(G212="Всього:",SUM($K$5:K211),F212*O211/36000*(G212-G211))</f>
        <v>#VALUE!</v>
      </c>
      <c r="L212" s="25" t="e">
        <f ca="1">IF(G212="Всього:",SUM($L$5:L211),$E$4)</f>
        <v>#DIV/0!</v>
      </c>
      <c r="M212" s="25" t="e">
        <f ca="1">IF(G212="Всього:",SUM($M$5:M211),IF($E$5="UAH",J212+L212+K212,J212+K212))</f>
        <v>#VALUE!</v>
      </c>
      <c r="N212" s="27" t="str">
        <f ca="1">IF(G212="Всього:",SUM($N$4:N211),IF($E$5="UAH","",L212))</f>
        <v/>
      </c>
      <c r="O212" s="25" t="e">
        <f t="shared" ca="1" si="21"/>
        <v>#DIV/0!</v>
      </c>
      <c r="P212" s="33">
        <f t="shared" ca="1" si="22"/>
        <v>52512</v>
      </c>
      <c r="Q212" s="8" t="e">
        <f t="shared" ca="1" si="25"/>
        <v>#VALUE!</v>
      </c>
    </row>
    <row r="213" spans="6:17" s="8" customFormat="1" ht="13.2" x14ac:dyDescent="0.25">
      <c r="F213" s="34" t="str">
        <f t="shared" ca="1" si="23"/>
        <v/>
      </c>
      <c r="G213" s="23">
        <f t="shared" ca="1" si="26"/>
        <v>52543</v>
      </c>
      <c r="H213" s="24" t="str">
        <f t="shared" si="24"/>
        <v/>
      </c>
      <c r="I213" s="25" t="e">
        <f ca="1">IF($G213="Всього:",SUM($I$4:I212),MAX($C$32,K213))</f>
        <v>#VALUE!</v>
      </c>
      <c r="J213" s="25" t="e">
        <f ca="1">IF($G213="Всього:",SUM($J$4:J212),IF(I213-SUM(K213:L213)&lt;0,0,I213-SUM(K213:L213)))</f>
        <v>#VALUE!</v>
      </c>
      <c r="K213" s="25" t="e">
        <f ca="1">IF(G213="Всього:",SUM($K$5:K212),F213*O212/36000*(G213-G212))</f>
        <v>#VALUE!</v>
      </c>
      <c r="L213" s="25" t="e">
        <f ca="1">IF(G213="Всього:",SUM($L$5:L212),$E$4)</f>
        <v>#DIV/0!</v>
      </c>
      <c r="M213" s="25" t="e">
        <f ca="1">IF(G213="Всього:",SUM($M$5:M212),IF($E$5="UAH",J213+L213+K213,J213+K213))</f>
        <v>#VALUE!</v>
      </c>
      <c r="N213" s="27" t="str">
        <f ca="1">IF(G213="Всього:",SUM($N$4:N212),IF($E$5="UAH","",L213))</f>
        <v/>
      </c>
      <c r="O213" s="25" t="e">
        <f t="shared" ca="1" si="21"/>
        <v>#DIV/0!</v>
      </c>
      <c r="P213" s="33">
        <f t="shared" ca="1" si="22"/>
        <v>52543</v>
      </c>
      <c r="Q213" s="8" t="e">
        <f t="shared" ca="1" si="25"/>
        <v>#VALUE!</v>
      </c>
    </row>
    <row r="214" spans="6:17" s="8" customFormat="1" ht="13.2" x14ac:dyDescent="0.25">
      <c r="F214" s="34" t="str">
        <f t="shared" ca="1" si="23"/>
        <v/>
      </c>
      <c r="G214" s="23">
        <f t="shared" ca="1" si="26"/>
        <v>52573</v>
      </c>
      <c r="H214" s="24" t="str">
        <f t="shared" si="24"/>
        <v/>
      </c>
      <c r="I214" s="25" t="e">
        <f ca="1">IF($G214="Всього:",SUM($I$4:I213),MAX($C$32,K214))</f>
        <v>#VALUE!</v>
      </c>
      <c r="J214" s="25" t="e">
        <f ca="1">IF($G214="Всього:",SUM($J$4:J213),IF(I214-SUM(K214:L214)&lt;0,0,I214-SUM(K214:L214)))</f>
        <v>#VALUE!</v>
      </c>
      <c r="K214" s="25" t="e">
        <f ca="1">IF(G214="Всього:",SUM($K$5:K213),F214*O213/36000*(G214-G213))</f>
        <v>#VALUE!</v>
      </c>
      <c r="L214" s="25" t="e">
        <f ca="1">IF(G214="Всього:",SUM($L$5:L213),$E$4)</f>
        <v>#DIV/0!</v>
      </c>
      <c r="M214" s="25" t="e">
        <f ca="1">IF(G214="Всього:",SUM($M$5:M213),IF($E$5="UAH",J214+L214+K214,J214+K214))</f>
        <v>#VALUE!</v>
      </c>
      <c r="N214" s="27" t="str">
        <f ca="1">IF(G214="Всього:",SUM($N$4:N213),IF($E$5="UAH","",L214))</f>
        <v/>
      </c>
      <c r="O214" s="25" t="e">
        <f t="shared" ca="1" si="21"/>
        <v>#DIV/0!</v>
      </c>
      <c r="P214" s="33">
        <f t="shared" ca="1" si="22"/>
        <v>52573</v>
      </c>
      <c r="Q214" s="8" t="e">
        <f t="shared" ca="1" si="25"/>
        <v>#VALUE!</v>
      </c>
    </row>
    <row r="215" spans="6:17" s="8" customFormat="1" ht="13.2" x14ac:dyDescent="0.25">
      <c r="F215" s="34" t="str">
        <f t="shared" ca="1" si="23"/>
        <v/>
      </c>
      <c r="G215" s="23">
        <f t="shared" ca="1" si="26"/>
        <v>52604</v>
      </c>
      <c r="H215" s="24" t="str">
        <f t="shared" si="24"/>
        <v/>
      </c>
      <c r="I215" s="25" t="e">
        <f ca="1">IF($G215="Всього:",SUM($I$4:I214),MAX($C$32,K215))</f>
        <v>#VALUE!</v>
      </c>
      <c r="J215" s="25" t="e">
        <f ca="1">IF($G215="Всього:",SUM($J$4:J214),IF(I215-SUM(K215:L215)&lt;0,0,I215-SUM(K215:L215)))</f>
        <v>#VALUE!</v>
      </c>
      <c r="K215" s="25" t="e">
        <f ca="1">IF(G215="Всього:",SUM($K$5:K214),F215*O214/36000*(G215-G214))</f>
        <v>#VALUE!</v>
      </c>
      <c r="L215" s="25" t="e">
        <f ca="1">IF(G215="Всього:",SUM($L$5:L214),$E$4)</f>
        <v>#DIV/0!</v>
      </c>
      <c r="M215" s="25" t="e">
        <f ca="1">IF(G215="Всього:",SUM($M$5:M214),IF($E$5="UAH",J215+L215+K215,J215+K215))</f>
        <v>#VALUE!</v>
      </c>
      <c r="N215" s="27" t="str">
        <f ca="1">IF(G215="Всього:",SUM($N$4:N214),IF($E$5="UAH","",L215))</f>
        <v/>
      </c>
      <c r="O215" s="25" t="e">
        <f t="shared" ca="1" si="21"/>
        <v>#DIV/0!</v>
      </c>
      <c r="P215" s="33">
        <f t="shared" ca="1" si="22"/>
        <v>52604</v>
      </c>
      <c r="Q215" s="8" t="e">
        <f t="shared" ca="1" si="25"/>
        <v>#VALUE!</v>
      </c>
    </row>
    <row r="216" spans="6:17" s="8" customFormat="1" ht="13.2" x14ac:dyDescent="0.25">
      <c r="F216" s="34" t="str">
        <f t="shared" ca="1" si="23"/>
        <v/>
      </c>
      <c r="G216" s="23">
        <f t="shared" ca="1" si="26"/>
        <v>52635</v>
      </c>
      <c r="H216" s="24" t="str">
        <f t="shared" si="24"/>
        <v/>
      </c>
      <c r="I216" s="25" t="e">
        <f ca="1">IF($G216="Всього:",SUM($I$4:I215),MAX($C$32,K216))</f>
        <v>#VALUE!</v>
      </c>
      <c r="J216" s="25" t="e">
        <f ca="1">IF($G216="Всього:",SUM($J$4:J215),IF(I216-SUM(K216:L216)&lt;0,0,I216-SUM(K216:L216)))</f>
        <v>#VALUE!</v>
      </c>
      <c r="K216" s="25" t="e">
        <f ca="1">IF(G216="Всього:",SUM($K$5:K215),F216*O215/36000*(G216-G215))</f>
        <v>#VALUE!</v>
      </c>
      <c r="L216" s="25" t="e">
        <f ca="1">IF(G216="Всього:",SUM($L$5:L215),$E$4)</f>
        <v>#DIV/0!</v>
      </c>
      <c r="M216" s="25" t="e">
        <f ca="1">IF(G216="Всього:",SUM($M$5:M215),IF($E$5="UAH",J216+L216+K216,J216+K216))</f>
        <v>#VALUE!</v>
      </c>
      <c r="N216" s="27" t="str">
        <f ca="1">IF(G216="Всього:",SUM($N$4:N215),IF($E$5="UAH","",L216))</f>
        <v/>
      </c>
      <c r="O216" s="25" t="e">
        <f t="shared" ca="1" si="21"/>
        <v>#DIV/0!</v>
      </c>
      <c r="P216" s="33">
        <f t="shared" ca="1" si="22"/>
        <v>52635</v>
      </c>
      <c r="Q216" s="8" t="e">
        <f t="shared" ca="1" si="25"/>
        <v>#VALUE!</v>
      </c>
    </row>
    <row r="217" spans="6:17" s="8" customFormat="1" ht="13.2" x14ac:dyDescent="0.25">
      <c r="F217" s="34" t="str">
        <f t="shared" ca="1" si="23"/>
        <v/>
      </c>
      <c r="G217" s="23">
        <f t="shared" ca="1" si="26"/>
        <v>52664</v>
      </c>
      <c r="H217" s="24" t="str">
        <f t="shared" si="24"/>
        <v/>
      </c>
      <c r="I217" s="25" t="e">
        <f ca="1">IF($G217="Всього:",SUM($I$4:I216),MAX($C$32,K217))</f>
        <v>#VALUE!</v>
      </c>
      <c r="J217" s="25" t="e">
        <f ca="1">IF($G217="Всього:",SUM($J$4:J216),IF(I217-SUM(K217:L217)&lt;0,0,I217-SUM(K217:L217)))</f>
        <v>#VALUE!</v>
      </c>
      <c r="K217" s="25" t="e">
        <f ca="1">IF(G217="Всього:",SUM($K$5:K216),F217*O216/36000*(G217-G216))</f>
        <v>#VALUE!</v>
      </c>
      <c r="L217" s="25" t="e">
        <f ca="1">IF(G217="Всього:",SUM($L$5:L216),$E$4)</f>
        <v>#DIV/0!</v>
      </c>
      <c r="M217" s="25" t="e">
        <f ca="1">IF(G217="Всього:",SUM($M$5:M216),IF($E$5="UAH",J217+L217+K217,J217+K217))</f>
        <v>#VALUE!</v>
      </c>
      <c r="N217" s="27" t="str">
        <f ca="1">IF(G217="Всього:",SUM($N$4:N216),IF($E$5="UAH","",L217))</f>
        <v/>
      </c>
      <c r="O217" s="25" t="e">
        <f t="shared" ca="1" si="21"/>
        <v>#DIV/0!</v>
      </c>
      <c r="P217" s="33">
        <f t="shared" ca="1" si="22"/>
        <v>52664</v>
      </c>
      <c r="Q217" s="8" t="e">
        <f t="shared" ca="1" si="25"/>
        <v>#VALUE!</v>
      </c>
    </row>
    <row r="218" spans="6:17" s="8" customFormat="1" ht="13.2" x14ac:dyDescent="0.25">
      <c r="F218" s="34" t="str">
        <f t="shared" ca="1" si="23"/>
        <v/>
      </c>
      <c r="G218" s="23">
        <f t="shared" ca="1" si="26"/>
        <v>52695</v>
      </c>
      <c r="H218" s="24" t="str">
        <f t="shared" si="24"/>
        <v/>
      </c>
      <c r="I218" s="25" t="e">
        <f ca="1">IF($G218="Всього:",SUM($I$4:I217),MAX($C$32,K218))</f>
        <v>#VALUE!</v>
      </c>
      <c r="J218" s="25" t="e">
        <f ca="1">IF($G218="Всього:",SUM($J$4:J217),IF(I218-SUM(K218:L218)&lt;0,0,I218-SUM(K218:L218)))</f>
        <v>#VALUE!</v>
      </c>
      <c r="K218" s="25" t="e">
        <f ca="1">IF(G218="Всього:",SUM($K$5:K217),F218*O217/36000*(G218-G217))</f>
        <v>#VALUE!</v>
      </c>
      <c r="L218" s="25" t="e">
        <f ca="1">IF(G218="Всього:",SUM($L$5:L217),$E$4)</f>
        <v>#DIV/0!</v>
      </c>
      <c r="M218" s="25" t="e">
        <f ca="1">IF(G218="Всього:",SUM($M$5:M217),IF($E$5="UAH",J218+L218+K218,J218+K218))</f>
        <v>#VALUE!</v>
      </c>
      <c r="N218" s="27" t="str">
        <f ca="1">IF(G218="Всього:",SUM($N$4:N217),IF($E$5="UAH","",L218))</f>
        <v/>
      </c>
      <c r="O218" s="25" t="e">
        <f t="shared" ca="1" si="21"/>
        <v>#DIV/0!</v>
      </c>
      <c r="P218" s="33">
        <f t="shared" ca="1" si="22"/>
        <v>52695</v>
      </c>
      <c r="Q218" s="8" t="e">
        <f t="shared" ca="1" si="25"/>
        <v>#VALUE!</v>
      </c>
    </row>
    <row r="219" spans="6:17" s="8" customFormat="1" ht="13.2" x14ac:dyDescent="0.25">
      <c r="F219" s="34" t="str">
        <f t="shared" ca="1" si="23"/>
        <v/>
      </c>
      <c r="G219" s="23">
        <f t="shared" ca="1" si="26"/>
        <v>52725</v>
      </c>
      <c r="H219" s="24" t="str">
        <f t="shared" si="24"/>
        <v/>
      </c>
      <c r="I219" s="25" t="e">
        <f ca="1">IF($G219="Всього:",SUM($I$4:I218),MAX($C$32,K219))</f>
        <v>#VALUE!</v>
      </c>
      <c r="J219" s="25" t="e">
        <f ca="1">IF($G219="Всього:",SUM($J$4:J218),IF(I219-SUM(K219:L219)&lt;0,0,I219-SUM(K219:L219)))</f>
        <v>#VALUE!</v>
      </c>
      <c r="K219" s="25" t="e">
        <f ca="1">IF(G219="Всього:",SUM($K$5:K218),F219*O218/36000*(G219-G218))</f>
        <v>#VALUE!</v>
      </c>
      <c r="L219" s="25" t="e">
        <f ca="1">IF(G219="Всього:",SUM($L$5:L218),$E$4)</f>
        <v>#DIV/0!</v>
      </c>
      <c r="M219" s="25" t="e">
        <f ca="1">IF(G219="Всього:",SUM($M$5:M218),IF($E$5="UAH",J219+L219+K219,J219+K219))</f>
        <v>#VALUE!</v>
      </c>
      <c r="N219" s="27" t="str">
        <f ca="1">IF(G219="Всього:",SUM($N$4:N218),IF($E$5="UAH","",L219))</f>
        <v/>
      </c>
      <c r="O219" s="25" t="e">
        <f t="shared" ca="1" si="21"/>
        <v>#DIV/0!</v>
      </c>
      <c r="P219" s="33">
        <f t="shared" ca="1" si="22"/>
        <v>52725</v>
      </c>
      <c r="Q219" s="8" t="e">
        <f t="shared" ca="1" si="25"/>
        <v>#VALUE!</v>
      </c>
    </row>
    <row r="220" spans="6:17" s="8" customFormat="1" ht="13.2" x14ac:dyDescent="0.25">
      <c r="F220" s="34" t="str">
        <f t="shared" ca="1" si="23"/>
        <v/>
      </c>
      <c r="G220" s="23">
        <f t="shared" ca="1" si="26"/>
        <v>52756</v>
      </c>
      <c r="H220" s="24" t="str">
        <f t="shared" si="24"/>
        <v/>
      </c>
      <c r="I220" s="25" t="e">
        <f ca="1">IF($G220="Всього:",SUM($I$4:I219),MAX($C$32,K220))</f>
        <v>#VALUE!</v>
      </c>
      <c r="J220" s="25" t="e">
        <f ca="1">IF($G220="Всього:",SUM($J$4:J219),IF(I220-SUM(K220:L220)&lt;0,0,I220-SUM(K220:L220)))</f>
        <v>#VALUE!</v>
      </c>
      <c r="K220" s="25" t="e">
        <f ca="1">IF(G220="Всього:",SUM($K$5:K219),F220*O219/36000*(G220-G219))</f>
        <v>#VALUE!</v>
      </c>
      <c r="L220" s="25" t="e">
        <f ca="1">IF(G220="Всього:",SUM($L$5:L219),$E$4)</f>
        <v>#DIV/0!</v>
      </c>
      <c r="M220" s="25" t="e">
        <f ca="1">IF(G220="Всього:",SUM($M$5:M219),IF($E$5="UAH",J220+L220+K220,J220+K220))</f>
        <v>#VALUE!</v>
      </c>
      <c r="N220" s="27" t="str">
        <f ca="1">IF(G220="Всього:",SUM($N$4:N219),IF($E$5="UAH","",L220))</f>
        <v/>
      </c>
      <c r="O220" s="25" t="e">
        <f t="shared" ca="1" si="21"/>
        <v>#DIV/0!</v>
      </c>
      <c r="P220" s="33">
        <f t="shared" ca="1" si="22"/>
        <v>52756</v>
      </c>
      <c r="Q220" s="8" t="e">
        <f t="shared" ca="1" si="25"/>
        <v>#VALUE!</v>
      </c>
    </row>
    <row r="221" spans="6:17" s="8" customFormat="1" ht="13.2" x14ac:dyDescent="0.25">
      <c r="F221" s="34" t="str">
        <f t="shared" ca="1" si="23"/>
        <v/>
      </c>
      <c r="G221" s="23">
        <f t="shared" ca="1" si="26"/>
        <v>52786</v>
      </c>
      <c r="H221" s="24" t="str">
        <f t="shared" si="24"/>
        <v/>
      </c>
      <c r="I221" s="25" t="e">
        <f ca="1">IF($G221="Всього:",SUM($I$4:I220),MAX($C$32,K221))</f>
        <v>#VALUE!</v>
      </c>
      <c r="J221" s="25" t="e">
        <f ca="1">IF($G221="Всього:",SUM($J$4:J220),IF(I221-SUM(K221:L221)&lt;0,0,I221-SUM(K221:L221)))</f>
        <v>#VALUE!</v>
      </c>
      <c r="K221" s="25" t="e">
        <f ca="1">IF(G221="Всього:",SUM($K$5:K220),F221*O220/36000*(G221-G220))</f>
        <v>#VALUE!</v>
      </c>
      <c r="L221" s="25" t="e">
        <f ca="1">IF(G221="Всього:",SUM($L$5:L220),$E$4)</f>
        <v>#DIV/0!</v>
      </c>
      <c r="M221" s="25" t="e">
        <f ca="1">IF(G221="Всього:",SUM($M$5:M220),IF($E$5="UAH",J221+L221+K221,J221+K221))</f>
        <v>#VALUE!</v>
      </c>
      <c r="N221" s="27" t="str">
        <f ca="1">IF(G221="Всього:",SUM($N$4:N220),IF($E$5="UAH","",L221))</f>
        <v/>
      </c>
      <c r="O221" s="25" t="e">
        <f t="shared" ca="1" si="21"/>
        <v>#DIV/0!</v>
      </c>
      <c r="P221" s="33">
        <f t="shared" ca="1" si="22"/>
        <v>52786</v>
      </c>
      <c r="Q221" s="8" t="e">
        <f t="shared" ca="1" si="25"/>
        <v>#VALUE!</v>
      </c>
    </row>
    <row r="222" spans="6:17" s="8" customFormat="1" ht="13.2" x14ac:dyDescent="0.25">
      <c r="F222" s="34" t="str">
        <f t="shared" ca="1" si="23"/>
        <v/>
      </c>
      <c r="G222" s="23">
        <f t="shared" ca="1" si="26"/>
        <v>52817</v>
      </c>
      <c r="H222" s="24" t="str">
        <f t="shared" si="24"/>
        <v/>
      </c>
      <c r="I222" s="25" t="e">
        <f ca="1">IF($G222="Всього:",SUM($I$4:I221),MAX($C$32,K222))</f>
        <v>#VALUE!</v>
      </c>
      <c r="J222" s="25" t="e">
        <f ca="1">IF($G222="Всього:",SUM($J$4:J221),IF(I222-SUM(K222:L222)&lt;0,0,I222-SUM(K222:L222)))</f>
        <v>#VALUE!</v>
      </c>
      <c r="K222" s="25" t="e">
        <f ca="1">IF(G222="Всього:",SUM($K$5:K221),F222*O221/36000*(G222-G221))</f>
        <v>#VALUE!</v>
      </c>
      <c r="L222" s="25" t="e">
        <f ca="1">IF(G222="Всього:",SUM($L$5:L221),$E$4)</f>
        <v>#DIV/0!</v>
      </c>
      <c r="M222" s="25" t="e">
        <f ca="1">IF(G222="Всього:",SUM($M$5:M221),IF($E$5="UAH",J222+L222+K222,J222+K222))</f>
        <v>#VALUE!</v>
      </c>
      <c r="N222" s="27" t="str">
        <f ca="1">IF(G222="Всього:",SUM($N$4:N221),IF($E$5="UAH","",L222))</f>
        <v/>
      </c>
      <c r="O222" s="25" t="e">
        <f t="shared" ca="1" si="21"/>
        <v>#DIV/0!</v>
      </c>
      <c r="P222" s="33">
        <f t="shared" ca="1" si="22"/>
        <v>52817</v>
      </c>
      <c r="Q222" s="8" t="e">
        <f t="shared" ca="1" si="25"/>
        <v>#VALUE!</v>
      </c>
    </row>
    <row r="223" spans="6:17" s="8" customFormat="1" ht="13.2" x14ac:dyDescent="0.25">
      <c r="F223" s="34" t="str">
        <f t="shared" ca="1" si="23"/>
        <v/>
      </c>
      <c r="G223" s="23">
        <f t="shared" ca="1" si="26"/>
        <v>52848</v>
      </c>
      <c r="H223" s="24" t="str">
        <f t="shared" si="24"/>
        <v/>
      </c>
      <c r="I223" s="25" t="e">
        <f ca="1">IF($G223="Всього:",SUM($I$4:I222),MAX($C$32,K223))</f>
        <v>#VALUE!</v>
      </c>
      <c r="J223" s="25" t="e">
        <f ca="1">IF($G223="Всього:",SUM($J$4:J222),IF(I223-SUM(K223:L223)&lt;0,0,I223-SUM(K223:L223)))</f>
        <v>#VALUE!</v>
      </c>
      <c r="K223" s="25" t="e">
        <f ca="1">IF(G223="Всього:",SUM($K$5:K222),F223*O222/36000*(G223-G222))</f>
        <v>#VALUE!</v>
      </c>
      <c r="L223" s="25" t="e">
        <f ca="1">IF(G223="Всього:",SUM($L$5:L222),$E$4)</f>
        <v>#DIV/0!</v>
      </c>
      <c r="M223" s="25" t="e">
        <f ca="1">IF(G223="Всього:",SUM($M$5:M222),IF($E$5="UAH",J223+L223+K223,J223+K223))</f>
        <v>#VALUE!</v>
      </c>
      <c r="N223" s="27" t="str">
        <f ca="1">IF(G223="Всього:",SUM($N$4:N222),IF($E$5="UAH","",L223))</f>
        <v/>
      </c>
      <c r="O223" s="25" t="e">
        <f t="shared" ca="1" si="21"/>
        <v>#DIV/0!</v>
      </c>
      <c r="P223" s="33">
        <f t="shared" ca="1" si="22"/>
        <v>52848</v>
      </c>
      <c r="Q223" s="8" t="e">
        <f t="shared" ca="1" si="25"/>
        <v>#VALUE!</v>
      </c>
    </row>
    <row r="224" spans="6:17" s="8" customFormat="1" ht="13.2" x14ac:dyDescent="0.25">
      <c r="F224" s="34" t="str">
        <f t="shared" ca="1" si="23"/>
        <v/>
      </c>
      <c r="G224" s="23">
        <f t="shared" ca="1" si="26"/>
        <v>52878</v>
      </c>
      <c r="H224" s="24" t="str">
        <f t="shared" si="24"/>
        <v/>
      </c>
      <c r="I224" s="25" t="e">
        <f ca="1">IF($G224="Всього:",SUM($I$4:I223),MAX($C$32,K224))</f>
        <v>#VALUE!</v>
      </c>
      <c r="J224" s="25" t="e">
        <f ca="1">IF($G224="Всього:",SUM($J$4:J223),IF(I224-SUM(K224:L224)&lt;0,0,I224-SUM(K224:L224)))</f>
        <v>#VALUE!</v>
      </c>
      <c r="K224" s="25" t="e">
        <f ca="1">IF(G224="Всього:",SUM($K$5:K223),F224*O223/36000*(G224-G223))</f>
        <v>#VALUE!</v>
      </c>
      <c r="L224" s="25" t="e">
        <f ca="1">IF(G224="Всього:",SUM($L$5:L223),$E$4)</f>
        <v>#DIV/0!</v>
      </c>
      <c r="M224" s="25" t="e">
        <f ca="1">IF(G224="Всього:",SUM($M$5:M223),IF($E$5="UAH",J224+L224+K224,J224+K224))</f>
        <v>#VALUE!</v>
      </c>
      <c r="N224" s="27" t="str">
        <f ca="1">IF(G224="Всього:",SUM($N$4:N223),IF($E$5="UAH","",L224))</f>
        <v/>
      </c>
      <c r="O224" s="25" t="e">
        <f t="shared" ca="1" si="21"/>
        <v>#DIV/0!</v>
      </c>
      <c r="P224" s="33">
        <f t="shared" ca="1" si="22"/>
        <v>52878</v>
      </c>
      <c r="Q224" s="8" t="e">
        <f t="shared" ca="1" si="25"/>
        <v>#VALUE!</v>
      </c>
    </row>
    <row r="225" spans="6:17" s="8" customFormat="1" ht="13.2" x14ac:dyDescent="0.25">
      <c r="F225" s="34" t="str">
        <f t="shared" ca="1" si="23"/>
        <v/>
      </c>
      <c r="G225" s="23">
        <f t="shared" ca="1" si="26"/>
        <v>52909</v>
      </c>
      <c r="H225" s="24" t="str">
        <f t="shared" si="24"/>
        <v/>
      </c>
      <c r="I225" s="25" t="e">
        <f ca="1">IF($G225="Всього:",SUM($I$4:I224),MAX($C$32,K225))</f>
        <v>#VALUE!</v>
      </c>
      <c r="J225" s="25" t="e">
        <f ca="1">IF($G225="Всього:",SUM($J$4:J224),IF(I225-SUM(K225:L225)&lt;0,0,I225-SUM(K225:L225)))</f>
        <v>#VALUE!</v>
      </c>
      <c r="K225" s="25" t="e">
        <f ca="1">IF(G225="Всього:",SUM($K$5:K224),F225*O224/36000*(G225-G224))</f>
        <v>#VALUE!</v>
      </c>
      <c r="L225" s="25" t="e">
        <f ca="1">IF(G225="Всього:",SUM($L$5:L224),$E$4)</f>
        <v>#DIV/0!</v>
      </c>
      <c r="M225" s="25" t="e">
        <f ca="1">IF(G225="Всього:",SUM($M$5:M224),IF($E$5="UAH",J225+L225+K225,J225+K225))</f>
        <v>#VALUE!</v>
      </c>
      <c r="N225" s="27" t="str">
        <f ca="1">IF(G225="Всього:",SUM($N$4:N224),IF($E$5="UAH","",L225))</f>
        <v/>
      </c>
      <c r="O225" s="25" t="e">
        <f t="shared" ca="1" si="21"/>
        <v>#DIV/0!</v>
      </c>
      <c r="P225" s="33">
        <f t="shared" ca="1" si="22"/>
        <v>52909</v>
      </c>
      <c r="Q225" s="8" t="e">
        <f t="shared" ca="1" si="25"/>
        <v>#VALUE!</v>
      </c>
    </row>
    <row r="226" spans="6:17" s="8" customFormat="1" ht="13.2" x14ac:dyDescent="0.25">
      <c r="F226" s="34" t="str">
        <f t="shared" ca="1" si="23"/>
        <v/>
      </c>
      <c r="G226" s="23">
        <f t="shared" ca="1" si="26"/>
        <v>52939</v>
      </c>
      <c r="H226" s="24" t="str">
        <f t="shared" si="24"/>
        <v/>
      </c>
      <c r="I226" s="25" t="e">
        <f ca="1">IF($G226="Всього:",SUM($I$4:I225),MAX($C$32,K226))</f>
        <v>#VALUE!</v>
      </c>
      <c r="J226" s="25" t="e">
        <f ca="1">IF($G226="Всього:",SUM($J$4:J225),IF(I226-SUM(K226:L226)&lt;0,0,I226-SUM(K226:L226)))</f>
        <v>#VALUE!</v>
      </c>
      <c r="K226" s="25" t="e">
        <f ca="1">IF(G226="Всього:",SUM($K$5:K225),F226*O225/36000*(G226-G225))</f>
        <v>#VALUE!</v>
      </c>
      <c r="L226" s="25" t="e">
        <f ca="1">IF(G226="Всього:",SUM($L$5:L225),$E$4)</f>
        <v>#DIV/0!</v>
      </c>
      <c r="M226" s="25" t="e">
        <f ca="1">IF(G226="Всього:",SUM($M$5:M225),IF($E$5="UAH",J226+L226+K226,J226+K226))</f>
        <v>#VALUE!</v>
      </c>
      <c r="N226" s="27" t="str">
        <f ca="1">IF(G226="Всього:",SUM($N$4:N225),IF($E$5="UAH","",L226))</f>
        <v/>
      </c>
      <c r="O226" s="25" t="e">
        <f t="shared" ca="1" si="21"/>
        <v>#DIV/0!</v>
      </c>
      <c r="P226" s="33">
        <f t="shared" ca="1" si="22"/>
        <v>52939</v>
      </c>
      <c r="Q226" s="8" t="e">
        <f t="shared" ca="1" si="25"/>
        <v>#VALUE!</v>
      </c>
    </row>
    <row r="227" spans="6:17" s="8" customFormat="1" ht="13.2" x14ac:dyDescent="0.25">
      <c r="F227" s="34" t="str">
        <f t="shared" ca="1" si="23"/>
        <v/>
      </c>
      <c r="G227" s="23">
        <f t="shared" ca="1" si="26"/>
        <v>52970</v>
      </c>
      <c r="H227" s="24" t="str">
        <f t="shared" si="24"/>
        <v/>
      </c>
      <c r="I227" s="25" t="e">
        <f ca="1">IF($G227="Всього:",SUM($I$4:I226),MAX($C$32,K227))</f>
        <v>#VALUE!</v>
      </c>
      <c r="J227" s="25" t="e">
        <f ca="1">IF($G227="Всього:",SUM($J$4:J226),IF(I227-SUM(K227:L227)&lt;0,0,I227-SUM(K227:L227)))</f>
        <v>#VALUE!</v>
      </c>
      <c r="K227" s="25" t="e">
        <f ca="1">IF(G227="Всього:",SUM($K$5:K226),F227*O226/36000*(G227-G226))</f>
        <v>#VALUE!</v>
      </c>
      <c r="L227" s="25" t="e">
        <f ca="1">IF(G227="Всього:",SUM($L$5:L226),$E$4)</f>
        <v>#DIV/0!</v>
      </c>
      <c r="M227" s="25" t="e">
        <f ca="1">IF(G227="Всього:",SUM($M$5:M226),IF($E$5="UAH",J227+L227+K227,J227+K227))</f>
        <v>#VALUE!</v>
      </c>
      <c r="N227" s="27" t="str">
        <f ca="1">IF(G227="Всього:",SUM($N$4:N226),IF($E$5="UAH","",L227))</f>
        <v/>
      </c>
      <c r="O227" s="25" t="e">
        <f t="shared" ca="1" si="21"/>
        <v>#DIV/0!</v>
      </c>
      <c r="P227" s="33">
        <f t="shared" ca="1" si="22"/>
        <v>52970</v>
      </c>
      <c r="Q227" s="8" t="e">
        <f t="shared" ca="1" si="25"/>
        <v>#VALUE!</v>
      </c>
    </row>
    <row r="228" spans="6:17" s="8" customFormat="1" ht="13.2" x14ac:dyDescent="0.25">
      <c r="F228" s="34" t="str">
        <f t="shared" ca="1" si="23"/>
        <v/>
      </c>
      <c r="G228" s="23">
        <f t="shared" ca="1" si="26"/>
        <v>53001</v>
      </c>
      <c r="H228" s="24" t="str">
        <f t="shared" si="24"/>
        <v/>
      </c>
      <c r="I228" s="25" t="e">
        <f ca="1">IF($G228="Всього:",SUM($I$4:I227),MAX($C$32,K228))</f>
        <v>#VALUE!</v>
      </c>
      <c r="J228" s="25" t="e">
        <f ca="1">IF($G228="Всього:",SUM($J$4:J227),IF(I228-SUM(K228:L228)&lt;0,0,I228-SUM(K228:L228)))</f>
        <v>#VALUE!</v>
      </c>
      <c r="K228" s="25" t="e">
        <f ca="1">IF(G228="Всього:",SUM($K$5:K227),F228*O227/36000*(G228-G227))</f>
        <v>#VALUE!</v>
      </c>
      <c r="L228" s="25" t="e">
        <f ca="1">IF(G228="Всього:",SUM($L$5:L227),$E$4)</f>
        <v>#DIV/0!</v>
      </c>
      <c r="M228" s="25" t="e">
        <f ca="1">IF(G228="Всього:",SUM($M$5:M227),IF($E$5="UAH",J228+L228+K228,J228+K228))</f>
        <v>#VALUE!</v>
      </c>
      <c r="N228" s="27" t="str">
        <f ca="1">IF(G228="Всього:",SUM($N$4:N227),IF($E$5="UAH","",L228))</f>
        <v/>
      </c>
      <c r="O228" s="25" t="e">
        <f t="shared" ca="1" si="21"/>
        <v>#DIV/0!</v>
      </c>
      <c r="P228" s="33">
        <f t="shared" ca="1" si="22"/>
        <v>53001</v>
      </c>
      <c r="Q228" s="8" t="e">
        <f t="shared" ca="1" si="25"/>
        <v>#VALUE!</v>
      </c>
    </row>
    <row r="229" spans="6:17" s="8" customFormat="1" ht="13.2" x14ac:dyDescent="0.25">
      <c r="F229" s="34" t="str">
        <f t="shared" ca="1" si="23"/>
        <v/>
      </c>
      <c r="G229" s="23">
        <f t="shared" ca="1" si="26"/>
        <v>53029</v>
      </c>
      <c r="H229" s="24" t="str">
        <f t="shared" si="24"/>
        <v/>
      </c>
      <c r="I229" s="25" t="e">
        <f ca="1">IF($G229="Всього:",SUM($I$4:I228),MAX($C$32,K229))</f>
        <v>#VALUE!</v>
      </c>
      <c r="J229" s="25" t="e">
        <f ca="1">IF($G229="Всього:",SUM($J$4:J228),IF(I229-SUM(K229:L229)&lt;0,0,I229-SUM(K229:L229)))</f>
        <v>#VALUE!</v>
      </c>
      <c r="K229" s="25" t="e">
        <f ca="1">IF(G229="Всього:",SUM($K$5:K228),F229*O228/36000*(G229-G228))</f>
        <v>#VALUE!</v>
      </c>
      <c r="L229" s="25" t="e">
        <f ca="1">IF(G229="Всього:",SUM($L$5:L228),$E$4)</f>
        <v>#DIV/0!</v>
      </c>
      <c r="M229" s="25" t="e">
        <f ca="1">IF(G229="Всього:",SUM($M$5:M228),IF($E$5="UAH",J229+L229+K229,J229+K229))</f>
        <v>#VALUE!</v>
      </c>
      <c r="N229" s="27" t="str">
        <f ca="1">IF(G229="Всього:",SUM($N$4:N228),IF($E$5="UAH","",L229))</f>
        <v/>
      </c>
      <c r="O229" s="25" t="e">
        <f t="shared" ca="1" si="21"/>
        <v>#DIV/0!</v>
      </c>
      <c r="P229" s="33">
        <f t="shared" ca="1" si="22"/>
        <v>53029</v>
      </c>
      <c r="Q229" s="8" t="e">
        <f t="shared" ca="1" si="25"/>
        <v>#VALUE!</v>
      </c>
    </row>
    <row r="230" spans="6:17" s="8" customFormat="1" ht="13.2" x14ac:dyDescent="0.25">
      <c r="F230" s="34" t="str">
        <f t="shared" ca="1" si="23"/>
        <v/>
      </c>
      <c r="G230" s="23">
        <f t="shared" ca="1" si="26"/>
        <v>53060</v>
      </c>
      <c r="H230" s="24" t="str">
        <f t="shared" si="24"/>
        <v/>
      </c>
      <c r="I230" s="25" t="e">
        <f ca="1">IF($G230="Всього:",SUM($I$4:I229),MAX($C$32,K230))</f>
        <v>#VALUE!</v>
      </c>
      <c r="J230" s="25" t="e">
        <f ca="1">IF($G230="Всього:",SUM($J$4:J229),IF(I230-SUM(K230:L230)&lt;0,0,I230-SUM(K230:L230)))</f>
        <v>#VALUE!</v>
      </c>
      <c r="K230" s="25" t="e">
        <f ca="1">IF(G230="Всього:",SUM($K$5:K229),F230*O229/36000*(G230-G229))</f>
        <v>#VALUE!</v>
      </c>
      <c r="L230" s="25" t="e">
        <f ca="1">IF(G230="Всього:",SUM($L$5:L229),$E$4)</f>
        <v>#DIV/0!</v>
      </c>
      <c r="M230" s="25" t="e">
        <f ca="1">IF(G230="Всього:",SUM($M$5:M229),IF($E$5="UAH",J230+L230+K230,J230+K230))</f>
        <v>#VALUE!</v>
      </c>
      <c r="N230" s="27" t="str">
        <f ca="1">IF(G230="Всього:",SUM($N$4:N229),IF($E$5="UAH","",L230))</f>
        <v/>
      </c>
      <c r="O230" s="25" t="e">
        <f t="shared" ca="1" si="21"/>
        <v>#DIV/0!</v>
      </c>
      <c r="P230" s="33">
        <f t="shared" ca="1" si="22"/>
        <v>53060</v>
      </c>
      <c r="Q230" s="8" t="e">
        <f t="shared" ca="1" si="25"/>
        <v>#VALUE!</v>
      </c>
    </row>
    <row r="231" spans="6:17" s="8" customFormat="1" ht="13.2" x14ac:dyDescent="0.25">
      <c r="F231" s="34" t="str">
        <f t="shared" ca="1" si="23"/>
        <v/>
      </c>
      <c r="G231" s="23">
        <f t="shared" ca="1" si="26"/>
        <v>53090</v>
      </c>
      <c r="H231" s="24" t="str">
        <f t="shared" si="24"/>
        <v/>
      </c>
      <c r="I231" s="25" t="e">
        <f ca="1">IF($G231="Всього:",SUM($I$4:I230),MAX($C$32,K231))</f>
        <v>#VALUE!</v>
      </c>
      <c r="J231" s="25" t="e">
        <f ca="1">IF($G231="Всього:",SUM($J$4:J230),IF(I231-SUM(K231:L231)&lt;0,0,I231-SUM(K231:L231)))</f>
        <v>#VALUE!</v>
      </c>
      <c r="K231" s="25" t="e">
        <f ca="1">IF(G231="Всього:",SUM($K$5:K230),F231*O230/36000*(G231-G230))</f>
        <v>#VALUE!</v>
      </c>
      <c r="L231" s="25" t="e">
        <f ca="1">IF(G231="Всього:",SUM($L$5:L230),$E$4)</f>
        <v>#DIV/0!</v>
      </c>
      <c r="M231" s="25" t="e">
        <f ca="1">IF(G231="Всього:",SUM($M$5:M230),IF($E$5="UAH",J231+L231+K231,J231+K231))</f>
        <v>#VALUE!</v>
      </c>
      <c r="N231" s="27" t="str">
        <f ca="1">IF(G231="Всього:",SUM($N$4:N230),IF($E$5="UAH","",L231))</f>
        <v/>
      </c>
      <c r="O231" s="25" t="e">
        <f t="shared" ca="1" si="21"/>
        <v>#DIV/0!</v>
      </c>
      <c r="P231" s="33">
        <f t="shared" ca="1" si="22"/>
        <v>53090</v>
      </c>
      <c r="Q231" s="8" t="e">
        <f t="shared" ca="1" si="25"/>
        <v>#VALUE!</v>
      </c>
    </row>
    <row r="232" spans="6:17" s="8" customFormat="1" ht="13.2" x14ac:dyDescent="0.25">
      <c r="F232" s="34" t="str">
        <f t="shared" ca="1" si="23"/>
        <v/>
      </c>
      <c r="G232" s="23">
        <f t="shared" ca="1" si="26"/>
        <v>53121</v>
      </c>
      <c r="H232" s="24" t="str">
        <f t="shared" si="24"/>
        <v/>
      </c>
      <c r="I232" s="25" t="e">
        <f ca="1">IF($G232="Всього:",SUM($I$4:I231),MAX($C$32,K232))</f>
        <v>#VALUE!</v>
      </c>
      <c r="J232" s="25" t="e">
        <f ca="1">IF($G232="Всього:",SUM($J$4:J231),IF(I232-SUM(K232:L232)&lt;0,0,I232-SUM(K232:L232)))</f>
        <v>#VALUE!</v>
      </c>
      <c r="K232" s="25" t="e">
        <f ca="1">IF(G232="Всього:",SUM($K$5:K231),F232*O231/36000*(G232-G231))</f>
        <v>#VALUE!</v>
      </c>
      <c r="L232" s="25" t="e">
        <f ca="1">IF(G232="Всього:",SUM($L$5:L231),$E$4)</f>
        <v>#DIV/0!</v>
      </c>
      <c r="M232" s="25" t="e">
        <f ca="1">IF(G232="Всього:",SUM($M$5:M231),IF($E$5="UAH",J232+L232+K232,J232+K232))</f>
        <v>#VALUE!</v>
      </c>
      <c r="N232" s="27" t="str">
        <f ca="1">IF(G232="Всього:",SUM($N$4:N231),IF($E$5="UAH","",L232))</f>
        <v/>
      </c>
      <c r="O232" s="25" t="e">
        <f t="shared" ca="1" si="21"/>
        <v>#DIV/0!</v>
      </c>
      <c r="P232" s="33">
        <f t="shared" ca="1" si="22"/>
        <v>53121</v>
      </c>
      <c r="Q232" s="8" t="e">
        <f t="shared" ca="1" si="25"/>
        <v>#VALUE!</v>
      </c>
    </row>
    <row r="233" spans="6:17" s="8" customFormat="1" ht="13.2" x14ac:dyDescent="0.25">
      <c r="F233" s="34" t="str">
        <f t="shared" ca="1" si="23"/>
        <v/>
      </c>
      <c r="G233" s="23">
        <f t="shared" ca="1" si="26"/>
        <v>53151</v>
      </c>
      <c r="H233" s="24" t="str">
        <f t="shared" si="24"/>
        <v/>
      </c>
      <c r="I233" s="25" t="e">
        <f ca="1">IF($G233="Всього:",SUM($I$4:I232),MAX($C$32,K233))</f>
        <v>#VALUE!</v>
      </c>
      <c r="J233" s="25" t="e">
        <f ca="1">IF($G233="Всього:",SUM($J$4:J232),IF(I233-SUM(K233:L233)&lt;0,0,I233-SUM(K233:L233)))</f>
        <v>#VALUE!</v>
      </c>
      <c r="K233" s="25" t="e">
        <f ca="1">IF(G233="Всього:",SUM($K$5:K232),F233*O232/36000*(G233-G232))</f>
        <v>#VALUE!</v>
      </c>
      <c r="L233" s="25" t="e">
        <f ca="1">IF(G233="Всього:",SUM($L$5:L232),$E$4)</f>
        <v>#DIV/0!</v>
      </c>
      <c r="M233" s="25" t="e">
        <f ca="1">IF(G233="Всього:",SUM($M$5:M232),IF($E$5="UAH",J233+L233+K233,J233+K233))</f>
        <v>#VALUE!</v>
      </c>
      <c r="N233" s="27" t="str">
        <f ca="1">IF(G233="Всього:",SUM($N$4:N232),IF($E$5="UAH","",L233))</f>
        <v/>
      </c>
      <c r="O233" s="25" t="e">
        <f t="shared" ca="1" si="21"/>
        <v>#DIV/0!</v>
      </c>
      <c r="P233" s="33">
        <f t="shared" ca="1" si="22"/>
        <v>53151</v>
      </c>
      <c r="Q233" s="8" t="e">
        <f t="shared" ca="1" si="25"/>
        <v>#VALUE!</v>
      </c>
    </row>
    <row r="234" spans="6:17" s="8" customFormat="1" ht="13.2" x14ac:dyDescent="0.25">
      <c r="F234" s="34" t="str">
        <f t="shared" ca="1" si="23"/>
        <v/>
      </c>
      <c r="G234" s="23">
        <f t="shared" ca="1" si="26"/>
        <v>53182</v>
      </c>
      <c r="H234" s="24" t="str">
        <f t="shared" si="24"/>
        <v/>
      </c>
      <c r="I234" s="25" t="e">
        <f ca="1">IF($G234="Всього:",SUM($I$4:I233),MAX($C$32,K234))</f>
        <v>#VALUE!</v>
      </c>
      <c r="J234" s="25" t="e">
        <f ca="1">IF($G234="Всього:",SUM($J$4:J233),IF(I234-SUM(K234:L234)&lt;0,0,I234-SUM(K234:L234)))</f>
        <v>#VALUE!</v>
      </c>
      <c r="K234" s="25" t="e">
        <f ca="1">IF(G234="Всього:",SUM($K$5:K233),F234*O233/36000*(G234-G233))</f>
        <v>#VALUE!</v>
      </c>
      <c r="L234" s="25" t="e">
        <f ca="1">IF(G234="Всього:",SUM($L$5:L233),$E$4)</f>
        <v>#DIV/0!</v>
      </c>
      <c r="M234" s="25" t="e">
        <f ca="1">IF(G234="Всього:",SUM($M$5:M233),IF($E$5="UAH",J234+L234+K234,J234+K234))</f>
        <v>#VALUE!</v>
      </c>
      <c r="N234" s="27" t="str">
        <f ca="1">IF(G234="Всього:",SUM($N$4:N233),IF($E$5="UAH","",L234))</f>
        <v/>
      </c>
      <c r="O234" s="25" t="e">
        <f t="shared" ca="1" si="21"/>
        <v>#DIV/0!</v>
      </c>
      <c r="P234" s="33">
        <f t="shared" ca="1" si="22"/>
        <v>53182</v>
      </c>
      <c r="Q234" s="8" t="e">
        <f t="shared" ca="1" si="25"/>
        <v>#VALUE!</v>
      </c>
    </row>
    <row r="235" spans="6:17" s="8" customFormat="1" ht="13.2" x14ac:dyDescent="0.25">
      <c r="F235" s="34" t="str">
        <f t="shared" ca="1" si="23"/>
        <v/>
      </c>
      <c r="G235" s="23">
        <f t="shared" ca="1" si="26"/>
        <v>53213</v>
      </c>
      <c r="H235" s="24" t="str">
        <f t="shared" si="24"/>
        <v/>
      </c>
      <c r="I235" s="25" t="e">
        <f ca="1">IF($G235="Всього:",SUM($I$4:I234),MAX($C$32,K235))</f>
        <v>#VALUE!</v>
      </c>
      <c r="J235" s="25" t="e">
        <f ca="1">IF($G235="Всього:",SUM($J$4:J234),IF(I235-SUM(K235:L235)&lt;0,0,I235-SUM(K235:L235)))</f>
        <v>#VALUE!</v>
      </c>
      <c r="K235" s="25" t="e">
        <f ca="1">IF(G235="Всього:",SUM($K$5:K234),F235*O234/36000*(G235-G234))</f>
        <v>#VALUE!</v>
      </c>
      <c r="L235" s="25" t="e">
        <f ca="1">IF(G235="Всього:",SUM($L$5:L234),$E$4)</f>
        <v>#DIV/0!</v>
      </c>
      <c r="M235" s="25" t="e">
        <f ca="1">IF(G235="Всього:",SUM($M$5:M234),IF($E$5="UAH",J235+L235+K235,J235+K235))</f>
        <v>#VALUE!</v>
      </c>
      <c r="N235" s="27" t="str">
        <f ca="1">IF(G235="Всього:",SUM($N$4:N234),IF($E$5="UAH","",L235))</f>
        <v/>
      </c>
      <c r="O235" s="25" t="e">
        <f t="shared" ca="1" si="21"/>
        <v>#DIV/0!</v>
      </c>
      <c r="P235" s="33">
        <f t="shared" ca="1" si="22"/>
        <v>53213</v>
      </c>
      <c r="Q235" s="8" t="e">
        <f t="shared" ca="1" si="25"/>
        <v>#VALUE!</v>
      </c>
    </row>
    <row r="236" spans="6:17" s="8" customFormat="1" ht="13.2" x14ac:dyDescent="0.25">
      <c r="F236" s="34" t="str">
        <f t="shared" ca="1" si="23"/>
        <v/>
      </c>
      <c r="G236" s="23">
        <f t="shared" ca="1" si="26"/>
        <v>53243</v>
      </c>
      <c r="H236" s="24" t="str">
        <f t="shared" si="24"/>
        <v/>
      </c>
      <c r="I236" s="25" t="e">
        <f ca="1">IF($G236="Всього:",SUM($I$4:I235),MAX($C$32,K236))</f>
        <v>#VALUE!</v>
      </c>
      <c r="J236" s="25" t="e">
        <f ca="1">IF($G236="Всього:",SUM($J$4:J235),IF(I236-SUM(K236:L236)&lt;0,0,I236-SUM(K236:L236)))</f>
        <v>#VALUE!</v>
      </c>
      <c r="K236" s="25" t="e">
        <f ca="1">IF(G236="Всього:",SUM($K$5:K235),F236*O235/36000*(G236-G235))</f>
        <v>#VALUE!</v>
      </c>
      <c r="L236" s="25" t="e">
        <f ca="1">IF(G236="Всього:",SUM($L$5:L235),$E$4)</f>
        <v>#DIV/0!</v>
      </c>
      <c r="M236" s="25" t="e">
        <f ca="1">IF(G236="Всього:",SUM($M$5:M235),IF($E$5="UAH",J236+L236+K236,J236+K236))</f>
        <v>#VALUE!</v>
      </c>
      <c r="N236" s="27" t="str">
        <f ca="1">IF(G236="Всього:",SUM($N$4:N235),IF($E$5="UAH","",L236))</f>
        <v/>
      </c>
      <c r="O236" s="25" t="e">
        <f t="shared" ca="1" si="21"/>
        <v>#DIV/0!</v>
      </c>
      <c r="P236" s="33">
        <f t="shared" ca="1" si="22"/>
        <v>53243</v>
      </c>
      <c r="Q236" s="8" t="e">
        <f t="shared" ca="1" si="25"/>
        <v>#VALUE!</v>
      </c>
    </row>
    <row r="237" spans="6:17" s="8" customFormat="1" ht="13.2" x14ac:dyDescent="0.25">
      <c r="F237" s="34" t="str">
        <f t="shared" ca="1" si="23"/>
        <v/>
      </c>
      <c r="G237" s="23">
        <f t="shared" ca="1" si="26"/>
        <v>53274</v>
      </c>
      <c r="H237" s="24" t="str">
        <f t="shared" si="24"/>
        <v/>
      </c>
      <c r="I237" s="25" t="e">
        <f ca="1">IF($G237="Всього:",SUM($I$4:I236),MAX($C$32,K237))</f>
        <v>#VALUE!</v>
      </c>
      <c r="J237" s="25" t="e">
        <f ca="1">IF($G237="Всього:",SUM($J$4:J236),IF(I237-SUM(K237:L237)&lt;0,0,I237-SUM(K237:L237)))</f>
        <v>#VALUE!</v>
      </c>
      <c r="K237" s="25" t="e">
        <f ca="1">IF(G237="Всього:",SUM($K$5:K236),F237*O236/36000*(G237-G236))</f>
        <v>#VALUE!</v>
      </c>
      <c r="L237" s="25" t="e">
        <f ca="1">IF(G237="Всього:",SUM($L$5:L236),$E$4)</f>
        <v>#DIV/0!</v>
      </c>
      <c r="M237" s="25" t="e">
        <f ca="1">IF(G237="Всього:",SUM($M$5:M236),IF($E$5="UAH",J237+L237+K237,J237+K237))</f>
        <v>#VALUE!</v>
      </c>
      <c r="N237" s="27" t="str">
        <f ca="1">IF(G237="Всього:",SUM($N$4:N236),IF($E$5="UAH","",L237))</f>
        <v/>
      </c>
      <c r="O237" s="25" t="e">
        <f t="shared" ca="1" si="21"/>
        <v>#DIV/0!</v>
      </c>
      <c r="P237" s="33">
        <f t="shared" ca="1" si="22"/>
        <v>53274</v>
      </c>
      <c r="Q237" s="8" t="e">
        <f t="shared" ca="1" si="25"/>
        <v>#VALUE!</v>
      </c>
    </row>
    <row r="238" spans="6:17" s="8" customFormat="1" ht="13.2" x14ac:dyDescent="0.25">
      <c r="F238" s="34" t="str">
        <f t="shared" ca="1" si="23"/>
        <v/>
      </c>
      <c r="G238" s="23">
        <f t="shared" ca="1" si="26"/>
        <v>53304</v>
      </c>
      <c r="H238" s="24" t="str">
        <f t="shared" si="24"/>
        <v/>
      </c>
      <c r="I238" s="25" t="e">
        <f ca="1">IF($G238="Всього:",SUM($I$4:I237),MAX($C$32,K238))</f>
        <v>#VALUE!</v>
      </c>
      <c r="J238" s="25" t="e">
        <f ca="1">IF($G238="Всього:",SUM($J$4:J237),IF(I238-SUM(K238:L238)&lt;0,0,I238-SUM(K238:L238)))</f>
        <v>#VALUE!</v>
      </c>
      <c r="K238" s="25" t="e">
        <f ca="1">IF(G238="Всього:",SUM($K$5:K237),F238*O237/36000*(G238-G237))</f>
        <v>#VALUE!</v>
      </c>
      <c r="L238" s="25" t="e">
        <f ca="1">IF(G238="Всього:",SUM($L$5:L237),$E$4)</f>
        <v>#DIV/0!</v>
      </c>
      <c r="M238" s="25" t="e">
        <f ca="1">IF(G238="Всього:",SUM($M$5:M237),IF($E$5="UAH",J238+L238+K238,J238+K238))</f>
        <v>#VALUE!</v>
      </c>
      <c r="N238" s="27" t="str">
        <f ca="1">IF(G238="Всього:",SUM($N$4:N237),IF($E$5="UAH","",L238))</f>
        <v/>
      </c>
      <c r="O238" s="25" t="e">
        <f t="shared" ca="1" si="21"/>
        <v>#DIV/0!</v>
      </c>
      <c r="P238" s="33">
        <f t="shared" ca="1" si="22"/>
        <v>53304</v>
      </c>
      <c r="Q238" s="8" t="e">
        <f t="shared" ca="1" si="25"/>
        <v>#VALUE!</v>
      </c>
    </row>
    <row r="239" spans="6:17" s="8" customFormat="1" ht="13.2" x14ac:dyDescent="0.25">
      <c r="F239" s="34" t="str">
        <f t="shared" ca="1" si="23"/>
        <v/>
      </c>
      <c r="G239" s="23">
        <f t="shared" ca="1" si="26"/>
        <v>53335</v>
      </c>
      <c r="H239" s="24" t="str">
        <f t="shared" si="24"/>
        <v/>
      </c>
      <c r="I239" s="25" t="e">
        <f ca="1">IF($G239="Всього:",SUM($I$4:I238),MAX($C$32,K239))</f>
        <v>#VALUE!</v>
      </c>
      <c r="J239" s="25" t="e">
        <f ca="1">IF($G239="Всього:",SUM($J$4:J238),IF(I239-SUM(K239:L239)&lt;0,0,I239-SUM(K239:L239)))</f>
        <v>#VALUE!</v>
      </c>
      <c r="K239" s="25" t="e">
        <f ca="1">IF(G239="Всього:",SUM($K$5:K238),F239*O238/36000*(G239-G238))</f>
        <v>#VALUE!</v>
      </c>
      <c r="L239" s="25" t="e">
        <f ca="1">IF(G239="Всього:",SUM($L$5:L238),$E$4)</f>
        <v>#DIV/0!</v>
      </c>
      <c r="M239" s="25" t="e">
        <f ca="1">IF(G239="Всього:",SUM($M$5:M238),IF($E$5="UAH",J239+L239+K239,J239+K239))</f>
        <v>#VALUE!</v>
      </c>
      <c r="N239" s="27" t="str">
        <f ca="1">IF(G239="Всього:",SUM($N$4:N238),IF($E$5="UAH","",L239))</f>
        <v/>
      </c>
      <c r="O239" s="25" t="e">
        <f t="shared" ca="1" si="21"/>
        <v>#DIV/0!</v>
      </c>
      <c r="P239" s="33">
        <f t="shared" ca="1" si="22"/>
        <v>53335</v>
      </c>
      <c r="Q239" s="8" t="e">
        <f t="shared" ca="1" si="25"/>
        <v>#VALUE!</v>
      </c>
    </row>
    <row r="240" spans="6:17" s="8" customFormat="1" ht="13.2" x14ac:dyDescent="0.25">
      <c r="F240" s="34" t="str">
        <f t="shared" ca="1" si="23"/>
        <v/>
      </c>
      <c r="G240" s="23">
        <f t="shared" ca="1" si="26"/>
        <v>53366</v>
      </c>
      <c r="H240" s="24" t="str">
        <f t="shared" si="24"/>
        <v/>
      </c>
      <c r="I240" s="25" t="e">
        <f ca="1">IF($G240="Всього:",SUM($I$4:I239),MAX($C$32,K240))</f>
        <v>#VALUE!</v>
      </c>
      <c r="J240" s="25" t="e">
        <f ca="1">IF($G240="Всього:",SUM($J$4:J239),IF(I240-SUM(K240:L240)&lt;0,0,I240-SUM(K240:L240)))</f>
        <v>#VALUE!</v>
      </c>
      <c r="K240" s="25" t="e">
        <f ca="1">IF(G240="Всього:",SUM($K$5:K239),F240*O239/36000*(G240-G239))</f>
        <v>#VALUE!</v>
      </c>
      <c r="L240" s="25" t="e">
        <f ca="1">IF(G240="Всього:",SUM($L$5:L239),$E$4)</f>
        <v>#DIV/0!</v>
      </c>
      <c r="M240" s="25" t="e">
        <f ca="1">IF(G240="Всього:",SUM($M$5:M239),IF($E$5="UAH",J240+L240+K240,J240+K240))</f>
        <v>#VALUE!</v>
      </c>
      <c r="N240" s="27" t="str">
        <f ca="1">IF(G240="Всього:",SUM($N$4:N239),IF($E$5="UAH","",L240))</f>
        <v/>
      </c>
      <c r="O240" s="25" t="e">
        <f t="shared" ca="1" si="21"/>
        <v>#DIV/0!</v>
      </c>
      <c r="P240" s="33">
        <f t="shared" ca="1" si="22"/>
        <v>53366</v>
      </c>
      <c r="Q240" s="8" t="e">
        <f t="shared" ca="1" si="25"/>
        <v>#VALUE!</v>
      </c>
    </row>
    <row r="241" spans="6:17" s="8" customFormat="1" ht="13.2" x14ac:dyDescent="0.25">
      <c r="F241" s="34" t="str">
        <f t="shared" ca="1" si="23"/>
        <v/>
      </c>
      <c r="G241" s="23">
        <f t="shared" ca="1" si="26"/>
        <v>53394</v>
      </c>
      <c r="H241" s="24" t="str">
        <f t="shared" si="24"/>
        <v/>
      </c>
      <c r="I241" s="25" t="e">
        <f ca="1">IF($G241="Всього:",SUM($I$4:I240),MAX($C$32,K241))</f>
        <v>#VALUE!</v>
      </c>
      <c r="J241" s="25" t="e">
        <f ca="1">IF($G241="Всього:",SUM($J$4:J240),IF(I241-SUM(K241:L241)&lt;0,0,I241-SUM(K241:L241)))</f>
        <v>#VALUE!</v>
      </c>
      <c r="K241" s="25" t="e">
        <f ca="1">IF(G241="Всього:",SUM($K$5:K240),F241*O240/36000*(G241-G240))</f>
        <v>#VALUE!</v>
      </c>
      <c r="L241" s="25" t="e">
        <f ca="1">IF(G241="Всього:",SUM($L$5:L240),$E$4)</f>
        <v>#DIV/0!</v>
      </c>
      <c r="M241" s="25" t="e">
        <f ca="1">IF(G241="Всього:",SUM($M$5:M240),IF($E$5="UAH",J241+L241+K241,J241+K241))</f>
        <v>#VALUE!</v>
      </c>
      <c r="N241" s="27" t="str">
        <f ca="1">IF(G241="Всього:",SUM($N$4:N240),IF($E$5="UAH","",L241))</f>
        <v/>
      </c>
      <c r="O241" s="25" t="e">
        <f t="shared" ca="1" si="21"/>
        <v>#DIV/0!</v>
      </c>
      <c r="P241" s="33">
        <f t="shared" ca="1" si="22"/>
        <v>53394</v>
      </c>
      <c r="Q241" s="8" t="e">
        <f t="shared" ca="1" si="25"/>
        <v>#VALUE!</v>
      </c>
    </row>
    <row r="242" spans="6:17" s="8" customFormat="1" ht="13.2" x14ac:dyDescent="0.25">
      <c r="F242" s="34" t="str">
        <f t="shared" ca="1" si="23"/>
        <v/>
      </c>
      <c r="G242" s="23">
        <f t="shared" ca="1" si="26"/>
        <v>53425</v>
      </c>
      <c r="H242" s="24" t="str">
        <f t="shared" si="24"/>
        <v/>
      </c>
      <c r="I242" s="25" t="e">
        <f ca="1">IF($G242="Всього:",SUM($I$4:I241),MAX($C$32,K242))</f>
        <v>#VALUE!</v>
      </c>
      <c r="J242" s="25" t="e">
        <f ca="1">IF($G242="Всього:",SUM($J$4:J241),IF(I242-SUM(K242:L242)&lt;0,0,I242-SUM(K242:L242)))</f>
        <v>#VALUE!</v>
      </c>
      <c r="K242" s="25" t="e">
        <f ca="1">IF(G242="Всього:",SUM($K$5:K241),F242*O241/36000*(G242-G241))</f>
        <v>#VALUE!</v>
      </c>
      <c r="L242" s="25" t="e">
        <f ca="1">IF(G242="Всього:",SUM($L$5:L241),$E$4)</f>
        <v>#DIV/0!</v>
      </c>
      <c r="M242" s="25" t="e">
        <f ca="1">IF(G242="Всього:",SUM($M$5:M241),IF($E$5="UAH",J242+L242+K242,J242+K242))</f>
        <v>#VALUE!</v>
      </c>
      <c r="N242" s="27" t="str">
        <f ca="1">IF(G242="Всього:",SUM($N$4:N241),IF($E$5="UAH","",L242))</f>
        <v/>
      </c>
      <c r="O242" s="25" t="e">
        <f t="shared" ca="1" si="21"/>
        <v>#DIV/0!</v>
      </c>
      <c r="P242" s="33">
        <f t="shared" ca="1" si="22"/>
        <v>53425</v>
      </c>
      <c r="Q242" s="8" t="e">
        <f t="shared" ca="1" si="25"/>
        <v>#VALUE!</v>
      </c>
    </row>
    <row r="243" spans="6:17" s="8" customFormat="1" ht="13.2" x14ac:dyDescent="0.25">
      <c r="F243" s="34" t="str">
        <f t="shared" ca="1" si="23"/>
        <v/>
      </c>
      <c r="G243" s="23">
        <f t="shared" ca="1" si="26"/>
        <v>53455</v>
      </c>
      <c r="H243" s="24" t="str">
        <f t="shared" si="24"/>
        <v/>
      </c>
      <c r="I243" s="25" t="e">
        <f ca="1">IF($G243="Всього:",SUM($I$4:I242),MAX($C$32,K243))</f>
        <v>#VALUE!</v>
      </c>
      <c r="J243" s="25" t="e">
        <f ca="1">IF($G243="Всього:",SUM($J$4:J242),IF(I243-SUM(K243:L243)&lt;0,0,I243-SUM(K243:L243)))</f>
        <v>#VALUE!</v>
      </c>
      <c r="K243" s="25" t="e">
        <f ca="1">IF(G243="Всього:",SUM($K$5:K242),F243*O242/36000*(G243-G242))</f>
        <v>#VALUE!</v>
      </c>
      <c r="L243" s="25" t="e">
        <f ca="1">IF(G243="Всього:",SUM($L$5:L242),$E$4)</f>
        <v>#DIV/0!</v>
      </c>
      <c r="M243" s="25" t="e">
        <f ca="1">IF(G243="Всього:",SUM($M$5:M242),IF($E$5="UAH",J243+L243+K243,J243+K243))</f>
        <v>#VALUE!</v>
      </c>
      <c r="N243" s="27" t="str">
        <f ca="1">IF(G243="Всього:",SUM($N$4:N242),IF($E$5="UAH","",L243))</f>
        <v/>
      </c>
      <c r="O243" s="25" t="e">
        <f t="shared" ca="1" si="21"/>
        <v>#DIV/0!</v>
      </c>
      <c r="P243" s="33">
        <f t="shared" ca="1" si="22"/>
        <v>53455</v>
      </c>
      <c r="Q243" s="8" t="e">
        <f t="shared" ca="1" si="25"/>
        <v>#VALUE!</v>
      </c>
    </row>
    <row r="244" spans="6:17" s="8" customFormat="1" ht="13.2" x14ac:dyDescent="0.25">
      <c r="F244" s="34" t="str">
        <f t="shared" ca="1" si="23"/>
        <v/>
      </c>
      <c r="G244" s="23">
        <f t="shared" ca="1" si="26"/>
        <v>53486</v>
      </c>
      <c r="H244" s="24" t="str">
        <f t="shared" si="24"/>
        <v/>
      </c>
      <c r="I244" s="25" t="e">
        <f ca="1">IF($G244="Всього:",SUM($I$4:I243),MAX($C$32,K244))</f>
        <v>#VALUE!</v>
      </c>
      <c r="J244" s="25" t="e">
        <f ca="1">IF($G244="Всього:",SUM($J$4:J243),IF(I244-SUM(K244:L244)&lt;0,0,I244-SUM(K244:L244)))</f>
        <v>#VALUE!</v>
      </c>
      <c r="K244" s="25" t="e">
        <f ca="1">IF(G244="Всього:",SUM($K$5:K243),F244*O243/36000*(G244-G243))</f>
        <v>#VALUE!</v>
      </c>
      <c r="L244" s="25" t="e">
        <f ca="1">IF(G244="Всього:",SUM($L$5:L243),$E$4)</f>
        <v>#DIV/0!</v>
      </c>
      <c r="M244" s="25" t="e">
        <f ca="1">IF(G244="Всього:",SUM($M$5:M243),IF($E$5="UAH",J244+L244+K244,J244+K244))</f>
        <v>#VALUE!</v>
      </c>
      <c r="N244" s="27" t="str">
        <f ca="1">IF(G244="Всього:",SUM($N$4:N243),IF($E$5="UAH","",L244))</f>
        <v/>
      </c>
      <c r="O244" s="25" t="e">
        <f t="shared" ca="1" si="21"/>
        <v>#DIV/0!</v>
      </c>
      <c r="P244" s="33">
        <f t="shared" ca="1" si="22"/>
        <v>53486</v>
      </c>
      <c r="Q244" s="8" t="e">
        <f t="shared" ca="1" si="25"/>
        <v>#VALUE!</v>
      </c>
    </row>
    <row r="245" spans="6:17" s="8" customFormat="1" ht="13.2" x14ac:dyDescent="0.25">
      <c r="F245" s="34" t="str">
        <f t="shared" ca="1" si="23"/>
        <v/>
      </c>
      <c r="G245" s="23">
        <f t="shared" ca="1" si="26"/>
        <v>53516</v>
      </c>
      <c r="H245" s="24" t="str">
        <f t="shared" si="24"/>
        <v/>
      </c>
      <c r="I245" s="25" t="e">
        <f ca="1">IF($G245="Всього:",SUM($I$4:I244),MAX($C$32,K245))</f>
        <v>#VALUE!</v>
      </c>
      <c r="J245" s="25" t="e">
        <f ca="1">IF($G245="Всього:",SUM($J$4:J244),IF(I245-SUM(K245:L245)&lt;0,0,I245-SUM(K245:L245)))</f>
        <v>#VALUE!</v>
      </c>
      <c r="K245" s="25" t="e">
        <f ca="1">IF(G245="Всього:",SUM($K$5:K244),F245*O244/36000*(G245-G244))</f>
        <v>#VALUE!</v>
      </c>
      <c r="L245" s="25" t="e">
        <f ca="1">IF(G245="Всього:",SUM($L$5:L244),$E$4)</f>
        <v>#DIV/0!</v>
      </c>
      <c r="M245" s="25" t="e">
        <f ca="1">IF(G245="Всього:",SUM($M$5:M244),IF($E$5="UAH",J245+L245+K245,J245+K245))</f>
        <v>#VALUE!</v>
      </c>
      <c r="N245" s="27" t="str">
        <f ca="1">IF(G245="Всього:",SUM($N$4:N244),IF($E$5="UAH","",L245))</f>
        <v/>
      </c>
      <c r="O245" s="25" t="e">
        <f t="shared" ca="1" si="21"/>
        <v>#DIV/0!</v>
      </c>
      <c r="P245" s="33">
        <f t="shared" ca="1" si="22"/>
        <v>53516</v>
      </c>
      <c r="Q245" s="8" t="e">
        <f t="shared" ca="1" si="25"/>
        <v>#VALUE!</v>
      </c>
    </row>
    <row r="246" spans="6:17" s="8" customFormat="1" ht="13.2" x14ac:dyDescent="0.25">
      <c r="F246" s="34" t="str">
        <f t="shared" ca="1" si="23"/>
        <v/>
      </c>
      <c r="G246" s="23">
        <f t="shared" ca="1" si="26"/>
        <v>53547</v>
      </c>
      <c r="H246" s="24" t="str">
        <f t="shared" si="24"/>
        <v/>
      </c>
      <c r="I246" s="25" t="e">
        <f ca="1">IF($G246="Всього:",SUM($I$4:I245),MAX($C$32,K246))</f>
        <v>#VALUE!</v>
      </c>
      <c r="J246" s="25" t="e">
        <f ca="1">IF($G246="Всього:",SUM($J$4:J245),IF(I246-SUM(K246:L246)&lt;0,0,I246-SUM(K246:L246)))</f>
        <v>#VALUE!</v>
      </c>
      <c r="K246" s="25" t="e">
        <f ca="1">IF(G246="Всього:",SUM($K$5:K245),F246*O245/36000*(G246-G245))</f>
        <v>#VALUE!</v>
      </c>
      <c r="L246" s="25" t="e">
        <f ca="1">IF(G246="Всього:",SUM($L$5:L245),$E$4)</f>
        <v>#DIV/0!</v>
      </c>
      <c r="M246" s="25" t="e">
        <f ca="1">IF(G246="Всього:",SUM($M$5:M245),IF($E$5="UAH",J246+L246+K246,J246+K246))</f>
        <v>#VALUE!</v>
      </c>
      <c r="N246" s="27" t="str">
        <f ca="1">IF(G246="Всього:",SUM($N$4:N245),IF($E$5="UAH","",L246))</f>
        <v/>
      </c>
      <c r="O246" s="25" t="e">
        <f t="shared" ca="1" si="21"/>
        <v>#DIV/0!</v>
      </c>
      <c r="P246" s="33">
        <f t="shared" ca="1" si="22"/>
        <v>53547</v>
      </c>
      <c r="Q246" s="8" t="e">
        <f t="shared" ca="1" si="25"/>
        <v>#VALUE!</v>
      </c>
    </row>
    <row r="247" spans="6:17" s="8" customFormat="1" ht="13.2" x14ac:dyDescent="0.25">
      <c r="F247" s="34" t="str">
        <f t="shared" ca="1" si="23"/>
        <v/>
      </c>
      <c r="G247" s="23">
        <f t="shared" ca="1" si="26"/>
        <v>53578</v>
      </c>
      <c r="H247" s="24" t="str">
        <f t="shared" si="24"/>
        <v/>
      </c>
      <c r="I247" s="25" t="e">
        <f ca="1">IF($G247="Всього:",SUM($I$4:I246),MAX($C$32,K247))</f>
        <v>#VALUE!</v>
      </c>
      <c r="J247" s="25" t="e">
        <f ca="1">IF($G247="Всього:",SUM($J$4:J246),IF(I247-SUM(K247:L247)&lt;0,0,I247-SUM(K247:L247)))</f>
        <v>#VALUE!</v>
      </c>
      <c r="K247" s="25" t="e">
        <f ca="1">IF(G247="Всього:",SUM($K$5:K246),F247*O246/36000*(G247-G246))</f>
        <v>#VALUE!</v>
      </c>
      <c r="L247" s="25" t="e">
        <f ca="1">IF(G247="Всього:",SUM($L$5:L246),$E$4)</f>
        <v>#DIV/0!</v>
      </c>
      <c r="M247" s="25" t="e">
        <f ca="1">IF(G247="Всього:",SUM($M$5:M246),IF($E$5="UAH",J247+L247+K247,J247+K247))</f>
        <v>#VALUE!</v>
      </c>
      <c r="N247" s="27" t="str">
        <f ca="1">IF(G247="Всього:",SUM($N$4:N246),IF($E$5="UAH","",L247))</f>
        <v/>
      </c>
      <c r="O247" s="25" t="e">
        <f t="shared" ca="1" si="21"/>
        <v>#DIV/0!</v>
      </c>
    </row>
    <row r="248" spans="6:17" s="8" customFormat="1" ht="13.2" x14ac:dyDescent="0.25">
      <c r="F248" s="31" t="e">
        <f>IF(G248="Всього:","",'Платоспроможність боржника'!$H$6)</f>
        <v>#VALUE!</v>
      </c>
      <c r="G248" s="23" t="e">
        <v>#VALUE!</v>
      </c>
      <c r="H248" s="24" t="str">
        <f t="shared" ref="H248" si="27">IF(H247&gt;$E$3,"",H247+1)</f>
        <v/>
      </c>
      <c r="I248" s="25" t="e">
        <f>IF($G248="Всього:",SUM($I$4:I247),MAX($C$32,K248))</f>
        <v>#VALUE!</v>
      </c>
      <c r="J248" s="25" t="e">
        <f>IF($G248="Всього:",SUM($J$4:J247),I248-SUM(K248:L248))</f>
        <v>#VALUE!</v>
      </c>
      <c r="K248" s="25" t="e">
        <f>IF(G248="Всього:",SUM($K$5:K247),F248*O247/360*(G248-G247))</f>
        <v>#VALUE!</v>
      </c>
      <c r="L248" s="25" t="e">
        <f>IF(G248="Всього:",SUM($L$5:L247),$E$4)</f>
        <v>#VALUE!</v>
      </c>
      <c r="M248" s="25" t="e">
        <f>IF(G248="Всього:",SUM($M$5:M247),IF($E$5="UAH",J248+L248+K248,J248+K248))</f>
        <v>#VALUE!</v>
      </c>
      <c r="N248" s="27" t="e">
        <f>IF(G248="Всього:",SUM($N$4:N247),IF($E$5="UAH","",L248))</f>
        <v>#VALUE!</v>
      </c>
      <c r="O248" s="25" t="e">
        <f t="shared" ca="1" si="21"/>
        <v>#DIV/0!</v>
      </c>
    </row>
    <row r="249" spans="6:17" x14ac:dyDescent="0.3">
      <c r="H249" s="11"/>
      <c r="Q249" s="8"/>
    </row>
    <row r="250" spans="6:17" x14ac:dyDescent="0.3">
      <c r="H250" s="11"/>
      <c r="Q250" s="8"/>
    </row>
    <row r="251" spans="6:17" x14ac:dyDescent="0.3">
      <c r="H251" s="11"/>
    </row>
    <row r="252" spans="6:17" x14ac:dyDescent="0.3">
      <c r="H252" s="11"/>
    </row>
    <row r="253" spans="6:17" x14ac:dyDescent="0.3">
      <c r="H253" s="11"/>
    </row>
    <row r="254" spans="6:17" x14ac:dyDescent="0.3">
      <c r="H254" s="11"/>
    </row>
    <row r="255" spans="6:17" x14ac:dyDescent="0.3">
      <c r="H255" s="11"/>
    </row>
    <row r="256" spans="6:17" x14ac:dyDescent="0.3">
      <c r="H256" s="11"/>
    </row>
    <row r="257" spans="8:8" x14ac:dyDescent="0.3">
      <c r="H257" s="11"/>
    </row>
    <row r="258" spans="8:8" x14ac:dyDescent="0.3">
      <c r="H258" s="11"/>
    </row>
    <row r="259" spans="8:8" x14ac:dyDescent="0.3">
      <c r="H259" s="11"/>
    </row>
    <row r="260" spans="8:8" x14ac:dyDescent="0.3">
      <c r="H260" s="11"/>
    </row>
    <row r="261" spans="8:8" x14ac:dyDescent="0.3">
      <c r="H261" s="11"/>
    </row>
    <row r="262" spans="8:8" x14ac:dyDescent="0.3">
      <c r="H262" s="11"/>
    </row>
    <row r="263" spans="8:8" x14ac:dyDescent="0.3">
      <c r="H263" s="11"/>
    </row>
    <row r="264" spans="8:8" x14ac:dyDescent="0.3">
      <c r="H264" s="11"/>
    </row>
    <row r="265" spans="8:8" x14ac:dyDescent="0.3">
      <c r="H265" s="11"/>
    </row>
    <row r="266" spans="8:8" x14ac:dyDescent="0.3">
      <c r="H266" s="11"/>
    </row>
    <row r="267" spans="8:8" x14ac:dyDescent="0.3">
      <c r="H267" s="11"/>
    </row>
    <row r="268" spans="8:8" x14ac:dyDescent="0.3">
      <c r="H268" s="11"/>
    </row>
    <row r="269" spans="8:8" x14ac:dyDescent="0.3">
      <c r="H269" s="11"/>
    </row>
    <row r="270" spans="8:8" x14ac:dyDescent="0.3">
      <c r="H270" s="11"/>
    </row>
    <row r="271" spans="8:8" x14ac:dyDescent="0.3">
      <c r="H271" s="11"/>
    </row>
    <row r="272" spans="8:8" x14ac:dyDescent="0.3">
      <c r="H272" s="11"/>
    </row>
    <row r="273" spans="8:8" x14ac:dyDescent="0.3">
      <c r="H273" s="11"/>
    </row>
    <row r="274" spans="8:8" x14ac:dyDescent="0.3">
      <c r="H274" s="11"/>
    </row>
    <row r="275" spans="8:8" x14ac:dyDescent="0.3">
      <c r="H275" s="11"/>
    </row>
    <row r="276" spans="8:8" x14ac:dyDescent="0.3">
      <c r="H276" s="11"/>
    </row>
    <row r="277" spans="8:8" x14ac:dyDescent="0.3">
      <c r="H277" s="11"/>
    </row>
    <row r="278" spans="8:8" x14ac:dyDescent="0.3">
      <c r="H278" s="11"/>
    </row>
    <row r="279" spans="8:8" x14ac:dyDescent="0.3">
      <c r="H279" s="11"/>
    </row>
    <row r="280" spans="8:8" x14ac:dyDescent="0.3">
      <c r="H280" s="11"/>
    </row>
    <row r="281" spans="8:8" x14ac:dyDescent="0.3">
      <c r="H281" s="11"/>
    </row>
    <row r="282" spans="8:8" x14ac:dyDescent="0.3">
      <c r="H282" s="11"/>
    </row>
    <row r="283" spans="8:8" x14ac:dyDescent="0.3">
      <c r="H283" s="11"/>
    </row>
    <row r="284" spans="8:8" x14ac:dyDescent="0.3">
      <c r="H284" s="11"/>
    </row>
    <row r="285" spans="8:8" x14ac:dyDescent="0.3">
      <c r="H285" s="11"/>
    </row>
    <row r="286" spans="8:8" x14ac:dyDescent="0.3">
      <c r="H286" s="11"/>
    </row>
    <row r="287" spans="8:8" x14ac:dyDescent="0.3">
      <c r="H287" s="11"/>
    </row>
    <row r="288" spans="8:8" x14ac:dyDescent="0.3">
      <c r="H288" s="11"/>
    </row>
    <row r="289" spans="8:8" x14ac:dyDescent="0.3">
      <c r="H289" s="11"/>
    </row>
    <row r="290" spans="8:8" x14ac:dyDescent="0.3">
      <c r="H290" s="11"/>
    </row>
    <row r="291" spans="8:8" x14ac:dyDescent="0.3">
      <c r="H291" s="11"/>
    </row>
    <row r="292" spans="8:8" x14ac:dyDescent="0.3">
      <c r="H292" s="11"/>
    </row>
    <row r="293" spans="8:8" x14ac:dyDescent="0.3">
      <c r="H293" s="11"/>
    </row>
    <row r="294" spans="8:8" x14ac:dyDescent="0.3">
      <c r="H294" s="11"/>
    </row>
    <row r="295" spans="8:8" x14ac:dyDescent="0.3">
      <c r="H295" s="11"/>
    </row>
    <row r="296" spans="8:8" x14ac:dyDescent="0.3">
      <c r="H296" s="11"/>
    </row>
    <row r="297" spans="8:8" x14ac:dyDescent="0.3">
      <c r="H297" s="11"/>
    </row>
    <row r="298" spans="8:8" x14ac:dyDescent="0.3">
      <c r="H298" s="11"/>
    </row>
    <row r="299" spans="8:8" x14ac:dyDescent="0.3">
      <c r="H299" s="11"/>
    </row>
    <row r="300" spans="8:8" x14ac:dyDescent="0.3">
      <c r="H300" s="11"/>
    </row>
    <row r="301" spans="8:8" x14ac:dyDescent="0.3">
      <c r="H301" s="11"/>
    </row>
    <row r="302" spans="8:8" x14ac:dyDescent="0.3">
      <c r="H302" s="11"/>
    </row>
    <row r="303" spans="8:8" x14ac:dyDescent="0.3">
      <c r="H303" s="11"/>
    </row>
    <row r="304" spans="8:8" x14ac:dyDescent="0.3">
      <c r="H304" s="11"/>
    </row>
    <row r="305" spans="8:8" x14ac:dyDescent="0.3">
      <c r="H305" s="11"/>
    </row>
    <row r="306" spans="8:8" x14ac:dyDescent="0.3">
      <c r="H306" s="11"/>
    </row>
    <row r="307" spans="8:8" x14ac:dyDescent="0.3">
      <c r="H307" s="11"/>
    </row>
    <row r="308" spans="8:8" x14ac:dyDescent="0.3">
      <c r="H308" s="11"/>
    </row>
    <row r="309" spans="8:8" x14ac:dyDescent="0.3">
      <c r="H309" s="11"/>
    </row>
    <row r="310" spans="8:8" x14ac:dyDescent="0.3">
      <c r="H310" s="11"/>
    </row>
    <row r="311" spans="8:8" x14ac:dyDescent="0.3">
      <c r="H311" s="11"/>
    </row>
    <row r="312" spans="8:8" x14ac:dyDescent="0.3">
      <c r="H312" s="11"/>
    </row>
    <row r="313" spans="8:8" x14ac:dyDescent="0.3">
      <c r="H313" s="11"/>
    </row>
    <row r="314" spans="8:8" x14ac:dyDescent="0.3">
      <c r="H314" s="11"/>
    </row>
    <row r="315" spans="8:8" x14ac:dyDescent="0.3">
      <c r="H315" s="11"/>
    </row>
    <row r="316" spans="8:8" x14ac:dyDescent="0.3">
      <c r="H316" s="11"/>
    </row>
    <row r="317" spans="8:8" x14ac:dyDescent="0.3">
      <c r="H317" s="11"/>
    </row>
    <row r="318" spans="8:8" x14ac:dyDescent="0.3">
      <c r="H318" s="11"/>
    </row>
    <row r="319" spans="8:8" x14ac:dyDescent="0.3">
      <c r="H319" s="11"/>
    </row>
    <row r="320" spans="8:8" x14ac:dyDescent="0.3">
      <c r="H320" s="11"/>
    </row>
    <row r="321" spans="8:8" x14ac:dyDescent="0.3">
      <c r="H321" s="11"/>
    </row>
    <row r="322" spans="8:8" x14ac:dyDescent="0.3">
      <c r="H322" s="11"/>
    </row>
    <row r="323" spans="8:8" x14ac:dyDescent="0.3">
      <c r="H323" s="11"/>
    </row>
    <row r="324" spans="8:8" x14ac:dyDescent="0.3">
      <c r="H324" s="11"/>
    </row>
    <row r="325" spans="8:8" x14ac:dyDescent="0.3">
      <c r="H325" s="11"/>
    </row>
    <row r="326" spans="8:8" x14ac:dyDescent="0.3">
      <c r="H326" s="11"/>
    </row>
    <row r="327" spans="8:8" x14ac:dyDescent="0.3">
      <c r="H327" s="11"/>
    </row>
    <row r="328" spans="8:8" x14ac:dyDescent="0.3">
      <c r="H328" s="11"/>
    </row>
    <row r="329" spans="8:8" x14ac:dyDescent="0.3">
      <c r="H329" s="11"/>
    </row>
    <row r="330" spans="8:8" x14ac:dyDescent="0.3">
      <c r="H330" s="11"/>
    </row>
    <row r="331" spans="8:8" x14ac:dyDescent="0.3">
      <c r="H331" s="11"/>
    </row>
    <row r="332" spans="8:8" x14ac:dyDescent="0.3">
      <c r="H332" s="11"/>
    </row>
    <row r="333" spans="8:8" x14ac:dyDescent="0.3">
      <c r="H333" s="11"/>
    </row>
    <row r="334" spans="8:8" x14ac:dyDescent="0.3">
      <c r="H334" s="11"/>
    </row>
    <row r="335" spans="8:8" x14ac:dyDescent="0.3">
      <c r="H335" s="11"/>
    </row>
    <row r="336" spans="8:8" x14ac:dyDescent="0.3">
      <c r="H336" s="11"/>
    </row>
    <row r="337" spans="8:8" x14ac:dyDescent="0.3">
      <c r="H337" s="11"/>
    </row>
    <row r="338" spans="8:8" x14ac:dyDescent="0.3">
      <c r="H338" s="11"/>
    </row>
    <row r="339" spans="8:8" x14ac:dyDescent="0.3">
      <c r="H339" s="11"/>
    </row>
    <row r="340" spans="8:8" x14ac:dyDescent="0.3">
      <c r="H340" s="11"/>
    </row>
    <row r="341" spans="8:8" x14ac:dyDescent="0.3">
      <c r="H341" s="11"/>
    </row>
    <row r="342" spans="8:8" x14ac:dyDescent="0.3">
      <c r="H342" s="11"/>
    </row>
    <row r="343" spans="8:8" x14ac:dyDescent="0.3">
      <c r="H343" s="11"/>
    </row>
    <row r="344" spans="8:8" x14ac:dyDescent="0.3">
      <c r="H344" s="11"/>
    </row>
    <row r="345" spans="8:8" x14ac:dyDescent="0.3">
      <c r="H345" s="11"/>
    </row>
    <row r="346" spans="8:8" x14ac:dyDescent="0.3">
      <c r="H346" s="11"/>
    </row>
    <row r="347" spans="8:8" x14ac:dyDescent="0.3">
      <c r="H347" s="11"/>
    </row>
    <row r="348" spans="8:8" x14ac:dyDescent="0.3">
      <c r="H348" s="11"/>
    </row>
    <row r="349" spans="8:8" x14ac:dyDescent="0.3">
      <c r="H349" s="11"/>
    </row>
    <row r="350" spans="8:8" x14ac:dyDescent="0.3">
      <c r="H350" s="11"/>
    </row>
    <row r="351" spans="8:8" x14ac:dyDescent="0.3">
      <c r="H351" s="11"/>
    </row>
    <row r="352" spans="8:8" x14ac:dyDescent="0.3">
      <c r="H352" s="11"/>
    </row>
    <row r="353" spans="8:8" x14ac:dyDescent="0.3">
      <c r="H353" s="11"/>
    </row>
    <row r="354" spans="8:8" x14ac:dyDescent="0.3">
      <c r="H354" s="11"/>
    </row>
    <row r="355" spans="8:8" x14ac:dyDescent="0.3">
      <c r="H355" s="11"/>
    </row>
    <row r="356" spans="8:8" x14ac:dyDescent="0.3">
      <c r="H356" s="11"/>
    </row>
    <row r="357" spans="8:8" x14ac:dyDescent="0.3">
      <c r="H357" s="11"/>
    </row>
    <row r="358" spans="8:8" x14ac:dyDescent="0.3">
      <c r="H358" s="11"/>
    </row>
    <row r="359" spans="8:8" x14ac:dyDescent="0.3">
      <c r="H359" s="11"/>
    </row>
    <row r="360" spans="8:8" x14ac:dyDescent="0.3">
      <c r="H360" s="11"/>
    </row>
    <row r="361" spans="8:8" x14ac:dyDescent="0.3">
      <c r="H361" s="11"/>
    </row>
    <row r="362" spans="8:8" x14ac:dyDescent="0.3">
      <c r="H362" s="11"/>
    </row>
    <row r="363" spans="8:8" x14ac:dyDescent="0.3">
      <c r="H363" s="11"/>
    </row>
    <row r="364" spans="8:8" x14ac:dyDescent="0.3">
      <c r="H364" s="11"/>
    </row>
    <row r="365" spans="8:8" x14ac:dyDescent="0.3">
      <c r="H365" s="11"/>
    </row>
    <row r="366" spans="8:8" x14ac:dyDescent="0.3">
      <c r="H366" s="11"/>
    </row>
    <row r="367" spans="8:8" x14ac:dyDescent="0.3">
      <c r="H367" s="11"/>
    </row>
    <row r="368" spans="8:8" x14ac:dyDescent="0.3">
      <c r="H368" s="11"/>
    </row>
    <row r="369" spans="8:8" x14ac:dyDescent="0.3">
      <c r="H369" s="11"/>
    </row>
    <row r="370" spans="8:8" x14ac:dyDescent="0.3">
      <c r="H370" s="11"/>
    </row>
    <row r="371" spans="8:8" x14ac:dyDescent="0.3">
      <c r="H371" s="11"/>
    </row>
    <row r="372" spans="8:8" x14ac:dyDescent="0.3">
      <c r="H372" s="11"/>
    </row>
    <row r="373" spans="8:8" x14ac:dyDescent="0.3">
      <c r="H373" s="11"/>
    </row>
    <row r="374" spans="8:8" x14ac:dyDescent="0.3">
      <c r="H374" s="11"/>
    </row>
    <row r="375" spans="8:8" x14ac:dyDescent="0.3">
      <c r="H375" s="11"/>
    </row>
    <row r="376" spans="8:8" x14ac:dyDescent="0.3">
      <c r="H376" s="11"/>
    </row>
    <row r="377" spans="8:8" x14ac:dyDescent="0.3">
      <c r="H377" s="11"/>
    </row>
    <row r="378" spans="8:8" x14ac:dyDescent="0.3">
      <c r="H378" s="11"/>
    </row>
    <row r="379" spans="8:8" x14ac:dyDescent="0.3">
      <c r="H379" s="11"/>
    </row>
    <row r="380" spans="8:8" x14ac:dyDescent="0.3">
      <c r="H380" s="11"/>
    </row>
    <row r="381" spans="8:8" x14ac:dyDescent="0.3">
      <c r="H381" s="11"/>
    </row>
    <row r="382" spans="8:8" x14ac:dyDescent="0.3">
      <c r="H382" s="11"/>
    </row>
    <row r="383" spans="8:8" x14ac:dyDescent="0.3">
      <c r="H383" s="11"/>
    </row>
    <row r="384" spans="8:8" x14ac:dyDescent="0.3">
      <c r="H384" s="11"/>
    </row>
    <row r="385" spans="8:8" x14ac:dyDescent="0.3">
      <c r="H385" s="11"/>
    </row>
    <row r="386" spans="8:8" x14ac:dyDescent="0.3">
      <c r="H386" s="11"/>
    </row>
    <row r="387" spans="8:8" x14ac:dyDescent="0.3">
      <c r="H387" s="11"/>
    </row>
    <row r="388" spans="8:8" x14ac:dyDescent="0.3">
      <c r="H388" s="11"/>
    </row>
    <row r="389" spans="8:8" x14ac:dyDescent="0.3">
      <c r="H389" s="11"/>
    </row>
    <row r="390" spans="8:8" x14ac:dyDescent="0.3">
      <c r="H390" s="11"/>
    </row>
    <row r="391" spans="8:8" x14ac:dyDescent="0.3">
      <c r="H391" s="11"/>
    </row>
    <row r="392" spans="8:8" x14ac:dyDescent="0.3">
      <c r="H392" s="11"/>
    </row>
    <row r="393" spans="8:8" x14ac:dyDescent="0.3">
      <c r="H393" s="11"/>
    </row>
    <row r="394" spans="8:8" x14ac:dyDescent="0.3">
      <c r="H394" s="11"/>
    </row>
    <row r="395" spans="8:8" x14ac:dyDescent="0.3">
      <c r="H395" s="11"/>
    </row>
    <row r="396" spans="8:8" x14ac:dyDescent="0.3">
      <c r="H396" s="11"/>
    </row>
    <row r="397" spans="8:8" x14ac:dyDescent="0.3">
      <c r="H397" s="11"/>
    </row>
    <row r="398" spans="8:8" x14ac:dyDescent="0.3">
      <c r="H398" s="11"/>
    </row>
    <row r="399" spans="8:8" x14ac:dyDescent="0.3">
      <c r="H399" s="11"/>
    </row>
    <row r="400" spans="8:8" x14ac:dyDescent="0.3">
      <c r="H400" s="11"/>
    </row>
    <row r="401" spans="8:8" x14ac:dyDescent="0.3">
      <c r="H401" s="11"/>
    </row>
    <row r="402" spans="8:8" x14ac:dyDescent="0.3">
      <c r="H402" s="11"/>
    </row>
    <row r="403" spans="8:8" x14ac:dyDescent="0.3">
      <c r="H403" s="11"/>
    </row>
    <row r="404" spans="8:8" x14ac:dyDescent="0.3">
      <c r="H404" s="11"/>
    </row>
    <row r="405" spans="8:8" x14ac:dyDescent="0.3">
      <c r="H405" s="11"/>
    </row>
    <row r="406" spans="8:8" x14ac:dyDescent="0.3">
      <c r="H406" s="11"/>
    </row>
    <row r="407" spans="8:8" x14ac:dyDescent="0.3">
      <c r="H407" s="11"/>
    </row>
    <row r="408" spans="8:8" x14ac:dyDescent="0.3">
      <c r="H408" s="11"/>
    </row>
    <row r="409" spans="8:8" x14ac:dyDescent="0.3">
      <c r="H409" s="11"/>
    </row>
    <row r="410" spans="8:8" x14ac:dyDescent="0.3">
      <c r="H410" s="11"/>
    </row>
    <row r="411" spans="8:8" x14ac:dyDescent="0.3">
      <c r="H411" s="11"/>
    </row>
    <row r="412" spans="8:8" x14ac:dyDescent="0.3">
      <c r="H412" s="11"/>
    </row>
    <row r="413" spans="8:8" x14ac:dyDescent="0.3">
      <c r="H413" s="11"/>
    </row>
    <row r="414" spans="8:8" x14ac:dyDescent="0.3">
      <c r="H414" s="11"/>
    </row>
    <row r="415" spans="8:8" x14ac:dyDescent="0.3">
      <c r="H415" s="11"/>
    </row>
    <row r="416" spans="8:8" x14ac:dyDescent="0.3">
      <c r="H416" s="11"/>
    </row>
    <row r="417" spans="8:8" x14ac:dyDescent="0.3">
      <c r="H417" s="11"/>
    </row>
    <row r="418" spans="8:8" x14ac:dyDescent="0.3">
      <c r="H418" s="11"/>
    </row>
    <row r="419" spans="8:8" x14ac:dyDescent="0.3">
      <c r="H419" s="11"/>
    </row>
    <row r="420" spans="8:8" x14ac:dyDescent="0.3">
      <c r="H420" s="11"/>
    </row>
    <row r="421" spans="8:8" x14ac:dyDescent="0.3">
      <c r="H421" s="11"/>
    </row>
    <row r="422" spans="8:8" x14ac:dyDescent="0.3">
      <c r="H422" s="11"/>
    </row>
    <row r="423" spans="8:8" x14ac:dyDescent="0.3">
      <c r="H423" s="11"/>
    </row>
    <row r="424" spans="8:8" x14ac:dyDescent="0.3">
      <c r="H424" s="11"/>
    </row>
    <row r="425" spans="8:8" x14ac:dyDescent="0.3">
      <c r="H425" s="11"/>
    </row>
    <row r="426" spans="8:8" x14ac:dyDescent="0.3">
      <c r="H426" s="11"/>
    </row>
    <row r="427" spans="8:8" x14ac:dyDescent="0.3">
      <c r="H427" s="11"/>
    </row>
    <row r="428" spans="8:8" x14ac:dyDescent="0.3">
      <c r="H428" s="11"/>
    </row>
    <row r="429" spans="8:8" x14ac:dyDescent="0.3">
      <c r="H429" s="11"/>
    </row>
    <row r="430" spans="8:8" x14ac:dyDescent="0.3">
      <c r="H430" s="11"/>
    </row>
    <row r="431" spans="8:8" x14ac:dyDescent="0.3">
      <c r="H431" s="11"/>
    </row>
    <row r="432" spans="8:8" x14ac:dyDescent="0.3">
      <c r="H432" s="11"/>
    </row>
    <row r="433" spans="8:8" x14ac:dyDescent="0.3">
      <c r="H433" s="11"/>
    </row>
    <row r="434" spans="8:8" x14ac:dyDescent="0.3">
      <c r="H434" s="11"/>
    </row>
    <row r="435" spans="8:8" x14ac:dyDescent="0.3">
      <c r="H435" s="11"/>
    </row>
    <row r="436" spans="8:8" x14ac:dyDescent="0.3">
      <c r="H436" s="11"/>
    </row>
    <row r="437" spans="8:8" x14ac:dyDescent="0.3">
      <c r="H437" s="11"/>
    </row>
    <row r="438" spans="8:8" x14ac:dyDescent="0.3">
      <c r="H438" s="11"/>
    </row>
    <row r="439" spans="8:8" x14ac:dyDescent="0.3">
      <c r="H439" s="11"/>
    </row>
    <row r="440" spans="8:8" x14ac:dyDescent="0.3">
      <c r="H440" s="11"/>
    </row>
    <row r="441" spans="8:8" x14ac:dyDescent="0.3">
      <c r="H441" s="11"/>
    </row>
    <row r="442" spans="8:8" x14ac:dyDescent="0.3">
      <c r="H442" s="11"/>
    </row>
    <row r="443" spans="8:8" x14ac:dyDescent="0.3">
      <c r="H443" s="11"/>
    </row>
    <row r="444" spans="8:8" x14ac:dyDescent="0.3">
      <c r="H444" s="11"/>
    </row>
    <row r="445" spans="8:8" x14ac:dyDescent="0.3">
      <c r="H445" s="11"/>
    </row>
    <row r="446" spans="8:8" x14ac:dyDescent="0.3">
      <c r="H446" s="11"/>
    </row>
    <row r="447" spans="8:8" x14ac:dyDescent="0.3">
      <c r="H447" s="11"/>
    </row>
    <row r="448" spans="8:8" x14ac:dyDescent="0.3">
      <c r="H448" s="11"/>
    </row>
    <row r="449" spans="8:8" x14ac:dyDescent="0.3">
      <c r="H449" s="11"/>
    </row>
    <row r="450" spans="8:8" x14ac:dyDescent="0.3">
      <c r="H450" s="11"/>
    </row>
    <row r="451" spans="8:8" x14ac:dyDescent="0.3">
      <c r="H451" s="11"/>
    </row>
    <row r="452" spans="8:8" x14ac:dyDescent="0.3">
      <c r="H452" s="11"/>
    </row>
    <row r="453" spans="8:8" x14ac:dyDescent="0.3">
      <c r="H453" s="11"/>
    </row>
    <row r="454" spans="8:8" x14ac:dyDescent="0.3">
      <c r="H454" s="11"/>
    </row>
    <row r="455" spans="8:8" x14ac:dyDescent="0.3">
      <c r="H455" s="11"/>
    </row>
    <row r="456" spans="8:8" x14ac:dyDescent="0.3">
      <c r="H456" s="11"/>
    </row>
    <row r="457" spans="8:8" x14ac:dyDescent="0.3">
      <c r="H457" s="11"/>
    </row>
    <row r="458" spans="8:8" x14ac:dyDescent="0.3">
      <c r="H458" s="11"/>
    </row>
    <row r="459" spans="8:8" x14ac:dyDescent="0.3">
      <c r="H459" s="11"/>
    </row>
    <row r="460" spans="8:8" x14ac:dyDescent="0.3">
      <c r="H460" s="11"/>
    </row>
    <row r="461" spans="8:8" x14ac:dyDescent="0.3">
      <c r="H461" s="11"/>
    </row>
    <row r="462" spans="8:8" x14ac:dyDescent="0.3">
      <c r="H462" s="11"/>
    </row>
    <row r="463" spans="8:8" x14ac:dyDescent="0.3">
      <c r="H463" s="11"/>
    </row>
    <row r="464" spans="8:8" x14ac:dyDescent="0.3">
      <c r="H464" s="11"/>
    </row>
    <row r="465" spans="8:8" x14ac:dyDescent="0.3">
      <c r="H465" s="11"/>
    </row>
    <row r="466" spans="8:8" x14ac:dyDescent="0.3">
      <c r="H466" s="11"/>
    </row>
    <row r="467" spans="8:8" x14ac:dyDescent="0.3">
      <c r="H467" s="11"/>
    </row>
    <row r="468" spans="8:8" x14ac:dyDescent="0.3">
      <c r="H468" s="11"/>
    </row>
    <row r="469" spans="8:8" x14ac:dyDescent="0.3">
      <c r="H469" s="11"/>
    </row>
    <row r="470" spans="8:8" x14ac:dyDescent="0.3">
      <c r="H470" s="11"/>
    </row>
    <row r="471" spans="8:8" x14ac:dyDescent="0.3">
      <c r="H471" s="11"/>
    </row>
    <row r="472" spans="8:8" x14ac:dyDescent="0.3">
      <c r="H472" s="11"/>
    </row>
    <row r="473" spans="8:8" x14ac:dyDescent="0.3">
      <c r="H473" s="11"/>
    </row>
    <row r="474" spans="8:8" x14ac:dyDescent="0.3">
      <c r="H474" s="11"/>
    </row>
    <row r="475" spans="8:8" x14ac:dyDescent="0.3">
      <c r="H475" s="11"/>
    </row>
    <row r="476" spans="8:8" x14ac:dyDescent="0.3">
      <c r="H476" s="11"/>
    </row>
    <row r="477" spans="8:8" x14ac:dyDescent="0.3">
      <c r="H477" s="11"/>
    </row>
    <row r="478" spans="8:8" x14ac:dyDescent="0.3">
      <c r="H478" s="11"/>
    </row>
    <row r="479" spans="8:8" x14ac:dyDescent="0.3">
      <c r="H479" s="11"/>
    </row>
    <row r="480" spans="8:8" x14ac:dyDescent="0.3">
      <c r="H480" s="11"/>
    </row>
    <row r="481" spans="8:8" x14ac:dyDescent="0.3">
      <c r="H481" s="11"/>
    </row>
    <row r="482" spans="8:8" x14ac:dyDescent="0.3">
      <c r="H482" s="11"/>
    </row>
    <row r="483" spans="8:8" x14ac:dyDescent="0.3">
      <c r="H483" s="11"/>
    </row>
    <row r="484" spans="8:8" x14ac:dyDescent="0.3">
      <c r="H484" s="11"/>
    </row>
    <row r="485" spans="8:8" x14ac:dyDescent="0.3">
      <c r="H485" s="11"/>
    </row>
    <row r="486" spans="8:8" x14ac:dyDescent="0.3">
      <c r="H486" s="11"/>
    </row>
    <row r="487" spans="8:8" x14ac:dyDescent="0.3">
      <c r="H487" s="11"/>
    </row>
    <row r="488" spans="8:8" x14ac:dyDescent="0.3">
      <c r="H488" s="11"/>
    </row>
    <row r="489" spans="8:8" x14ac:dyDescent="0.3">
      <c r="H489" s="11"/>
    </row>
    <row r="490" spans="8:8" x14ac:dyDescent="0.3">
      <c r="H490" s="11"/>
    </row>
    <row r="491" spans="8:8" x14ac:dyDescent="0.3">
      <c r="H491" s="11"/>
    </row>
    <row r="492" spans="8:8" x14ac:dyDescent="0.3">
      <c r="H492" s="11"/>
    </row>
    <row r="493" spans="8:8" x14ac:dyDescent="0.3">
      <c r="H493" s="11"/>
    </row>
    <row r="494" spans="8:8" x14ac:dyDescent="0.3">
      <c r="H494" s="11"/>
    </row>
    <row r="495" spans="8:8" x14ac:dyDescent="0.3">
      <c r="H495" s="11"/>
    </row>
    <row r="496" spans="8:8" x14ac:dyDescent="0.3">
      <c r="H496" s="11"/>
    </row>
    <row r="497" spans="8:8" x14ac:dyDescent="0.3">
      <c r="H497" s="11"/>
    </row>
    <row r="498" spans="8:8" x14ac:dyDescent="0.3">
      <c r="H498" s="11"/>
    </row>
    <row r="499" spans="8:8" x14ac:dyDescent="0.3">
      <c r="H499" s="11"/>
    </row>
    <row r="500" spans="8:8" x14ac:dyDescent="0.3">
      <c r="H500" s="11"/>
    </row>
    <row r="501" spans="8:8" x14ac:dyDescent="0.3">
      <c r="H501" s="11"/>
    </row>
    <row r="502" spans="8:8" x14ac:dyDescent="0.3">
      <c r="H502" s="11"/>
    </row>
    <row r="503" spans="8:8" x14ac:dyDescent="0.3">
      <c r="H503" s="11"/>
    </row>
    <row r="504" spans="8:8" x14ac:dyDescent="0.3">
      <c r="H504" s="11"/>
    </row>
    <row r="505" spans="8:8" x14ac:dyDescent="0.3">
      <c r="H505" s="11"/>
    </row>
    <row r="506" spans="8:8" x14ac:dyDescent="0.3">
      <c r="H506" s="11"/>
    </row>
    <row r="507" spans="8:8" x14ac:dyDescent="0.3">
      <c r="H507" s="11"/>
    </row>
    <row r="508" spans="8:8" x14ac:dyDescent="0.3">
      <c r="H508" s="11"/>
    </row>
    <row r="509" spans="8:8" x14ac:dyDescent="0.3">
      <c r="H509" s="11"/>
    </row>
    <row r="510" spans="8:8" x14ac:dyDescent="0.3">
      <c r="H510" s="11"/>
    </row>
    <row r="511" spans="8:8" x14ac:dyDescent="0.3">
      <c r="H511" s="11"/>
    </row>
    <row r="512" spans="8:8" x14ac:dyDescent="0.3">
      <c r="H512" s="11"/>
    </row>
    <row r="513" spans="8:8" x14ac:dyDescent="0.3">
      <c r="H513" s="11"/>
    </row>
    <row r="514" spans="8:8" x14ac:dyDescent="0.3">
      <c r="H514" s="11"/>
    </row>
    <row r="515" spans="8:8" x14ac:dyDescent="0.3">
      <c r="H515" s="11"/>
    </row>
    <row r="516" spans="8:8" x14ac:dyDescent="0.3">
      <c r="H516" s="11"/>
    </row>
    <row r="517" spans="8:8" x14ac:dyDescent="0.3">
      <c r="H517" s="11"/>
    </row>
    <row r="518" spans="8:8" x14ac:dyDescent="0.3">
      <c r="H518" s="11"/>
    </row>
    <row r="519" spans="8:8" x14ac:dyDescent="0.3">
      <c r="H519" s="11"/>
    </row>
    <row r="520" spans="8:8" x14ac:dyDescent="0.3">
      <c r="H520" s="11"/>
    </row>
    <row r="521" spans="8:8" x14ac:dyDescent="0.3">
      <c r="H521" s="11"/>
    </row>
    <row r="522" spans="8:8" x14ac:dyDescent="0.3">
      <c r="H522" s="11"/>
    </row>
    <row r="523" spans="8:8" x14ac:dyDescent="0.3">
      <c r="H523" s="11"/>
    </row>
    <row r="524" spans="8:8" x14ac:dyDescent="0.3">
      <c r="H524" s="11"/>
    </row>
    <row r="525" spans="8:8" x14ac:dyDescent="0.3">
      <c r="H525" s="11"/>
    </row>
    <row r="526" spans="8:8" x14ac:dyDescent="0.3">
      <c r="H526" s="11"/>
    </row>
    <row r="527" spans="8:8" x14ac:dyDescent="0.3">
      <c r="H527" s="11"/>
    </row>
    <row r="528" spans="8:8" x14ac:dyDescent="0.3">
      <c r="H528" s="11"/>
    </row>
    <row r="529" spans="8:8" x14ac:dyDescent="0.3">
      <c r="H529" s="11"/>
    </row>
    <row r="530" spans="8:8" x14ac:dyDescent="0.3">
      <c r="H530" s="11"/>
    </row>
    <row r="531" spans="8:8" x14ac:dyDescent="0.3">
      <c r="H531" s="11"/>
    </row>
    <row r="532" spans="8:8" x14ac:dyDescent="0.3">
      <c r="H532" s="11"/>
    </row>
    <row r="533" spans="8:8" x14ac:dyDescent="0.3">
      <c r="H533" s="11"/>
    </row>
    <row r="534" spans="8:8" x14ac:dyDescent="0.3">
      <c r="H534" s="11"/>
    </row>
    <row r="535" spans="8:8" x14ac:dyDescent="0.3">
      <c r="H535" s="11"/>
    </row>
    <row r="536" spans="8:8" x14ac:dyDescent="0.3">
      <c r="H536" s="11"/>
    </row>
    <row r="537" spans="8:8" x14ac:dyDescent="0.3">
      <c r="H537" s="11"/>
    </row>
    <row r="538" spans="8:8" x14ac:dyDescent="0.3">
      <c r="H538" s="11"/>
    </row>
    <row r="539" spans="8:8" x14ac:dyDescent="0.3">
      <c r="H539" s="11"/>
    </row>
    <row r="540" spans="8:8" x14ac:dyDescent="0.3">
      <c r="H540" s="11"/>
    </row>
    <row r="541" spans="8:8" x14ac:dyDescent="0.3">
      <c r="H541" s="11"/>
    </row>
    <row r="542" spans="8:8" x14ac:dyDescent="0.3">
      <c r="H542" s="11"/>
    </row>
    <row r="543" spans="8:8" x14ac:dyDescent="0.3">
      <c r="H543" s="11"/>
    </row>
    <row r="544" spans="8:8" x14ac:dyDescent="0.3">
      <c r="H544" s="11"/>
    </row>
    <row r="545" spans="8:8" x14ac:dyDescent="0.3">
      <c r="H545" s="11"/>
    </row>
    <row r="546" spans="8:8" x14ac:dyDescent="0.3">
      <c r="H546" s="11"/>
    </row>
    <row r="547" spans="8:8" x14ac:dyDescent="0.3">
      <c r="H547" s="11"/>
    </row>
    <row r="548" spans="8:8" x14ac:dyDescent="0.3">
      <c r="H548" s="11"/>
    </row>
    <row r="549" spans="8:8" x14ac:dyDescent="0.3">
      <c r="H549" s="11"/>
    </row>
    <row r="550" spans="8:8" x14ac:dyDescent="0.3">
      <c r="H550" s="11"/>
    </row>
    <row r="551" spans="8:8" x14ac:dyDescent="0.3">
      <c r="H551" s="11"/>
    </row>
    <row r="552" spans="8:8" x14ac:dyDescent="0.3">
      <c r="H552" s="11"/>
    </row>
    <row r="553" spans="8:8" x14ac:dyDescent="0.3">
      <c r="H553" s="11"/>
    </row>
    <row r="554" spans="8:8" x14ac:dyDescent="0.3">
      <c r="H554" s="11"/>
    </row>
    <row r="555" spans="8:8" x14ac:dyDescent="0.3">
      <c r="H555" s="11"/>
    </row>
    <row r="556" spans="8:8" x14ac:dyDescent="0.3">
      <c r="H556" s="11"/>
    </row>
    <row r="557" spans="8:8" x14ac:dyDescent="0.3">
      <c r="H557" s="11"/>
    </row>
    <row r="558" spans="8:8" x14ac:dyDescent="0.3">
      <c r="H558" s="11"/>
    </row>
    <row r="559" spans="8:8" x14ac:dyDescent="0.3">
      <c r="H559" s="11"/>
    </row>
    <row r="560" spans="8:8" x14ac:dyDescent="0.3">
      <c r="H560" s="11"/>
    </row>
    <row r="561" spans="8:8" x14ac:dyDescent="0.3">
      <c r="H561" s="11"/>
    </row>
    <row r="562" spans="8:8" x14ac:dyDescent="0.3">
      <c r="H562" s="11"/>
    </row>
    <row r="563" spans="8:8" x14ac:dyDescent="0.3">
      <c r="H563" s="11"/>
    </row>
    <row r="564" spans="8:8" x14ac:dyDescent="0.3">
      <c r="H564" s="11"/>
    </row>
    <row r="565" spans="8:8" x14ac:dyDescent="0.3">
      <c r="H565" s="11"/>
    </row>
    <row r="566" spans="8:8" x14ac:dyDescent="0.3">
      <c r="H566" s="11"/>
    </row>
    <row r="567" spans="8:8" x14ac:dyDescent="0.3">
      <c r="H567" s="11"/>
    </row>
    <row r="568" spans="8:8" x14ac:dyDescent="0.3">
      <c r="H568" s="11"/>
    </row>
    <row r="569" spans="8:8" x14ac:dyDescent="0.3">
      <c r="H569" s="11"/>
    </row>
    <row r="570" spans="8:8" x14ac:dyDescent="0.3">
      <c r="H570" s="11"/>
    </row>
    <row r="571" spans="8:8" x14ac:dyDescent="0.3">
      <c r="H571" s="11"/>
    </row>
    <row r="572" spans="8:8" x14ac:dyDescent="0.3">
      <c r="H572" s="11"/>
    </row>
    <row r="573" spans="8:8" x14ac:dyDescent="0.3">
      <c r="H573" s="11"/>
    </row>
    <row r="574" spans="8:8" x14ac:dyDescent="0.3">
      <c r="H574" s="11"/>
    </row>
    <row r="575" spans="8:8" x14ac:dyDescent="0.3">
      <c r="H575" s="11"/>
    </row>
    <row r="576" spans="8:8" x14ac:dyDescent="0.3">
      <c r="H576" s="11"/>
    </row>
    <row r="577" spans="8:8" x14ac:dyDescent="0.3">
      <c r="H577" s="11"/>
    </row>
    <row r="578" spans="8:8" x14ac:dyDescent="0.3">
      <c r="H578" s="11"/>
    </row>
    <row r="579" spans="8:8" x14ac:dyDescent="0.3">
      <c r="H579" s="11"/>
    </row>
    <row r="580" spans="8:8" x14ac:dyDescent="0.3">
      <c r="H580" s="11"/>
    </row>
    <row r="581" spans="8:8" x14ac:dyDescent="0.3">
      <c r="H581" s="11"/>
    </row>
    <row r="582" spans="8:8" x14ac:dyDescent="0.3">
      <c r="H582" s="11"/>
    </row>
    <row r="583" spans="8:8" x14ac:dyDescent="0.3">
      <c r="H583" s="11"/>
    </row>
    <row r="584" spans="8:8" x14ac:dyDescent="0.3">
      <c r="H584" s="11"/>
    </row>
    <row r="585" spans="8:8" x14ac:dyDescent="0.3">
      <c r="H585" s="11"/>
    </row>
    <row r="586" spans="8:8" x14ac:dyDescent="0.3">
      <c r="H586" s="11"/>
    </row>
    <row r="587" spans="8:8" x14ac:dyDescent="0.3">
      <c r="H587" s="11"/>
    </row>
    <row r="588" spans="8:8" x14ac:dyDescent="0.3">
      <c r="H588" s="11"/>
    </row>
    <row r="589" spans="8:8" x14ac:dyDescent="0.3">
      <c r="H589" s="11"/>
    </row>
    <row r="590" spans="8:8" x14ac:dyDescent="0.3">
      <c r="H590" s="11"/>
    </row>
    <row r="591" spans="8:8" x14ac:dyDescent="0.3">
      <c r="H591" s="11"/>
    </row>
    <row r="592" spans="8:8" x14ac:dyDescent="0.3">
      <c r="H592" s="11"/>
    </row>
    <row r="593" spans="8:8" x14ac:dyDescent="0.3">
      <c r="H593" s="11"/>
    </row>
    <row r="594" spans="8:8" x14ac:dyDescent="0.3">
      <c r="H594" s="11"/>
    </row>
    <row r="595" spans="8:8" x14ac:dyDescent="0.3">
      <c r="H595" s="11"/>
    </row>
    <row r="596" spans="8:8" x14ac:dyDescent="0.3">
      <c r="H596" s="11"/>
    </row>
    <row r="597" spans="8:8" x14ac:dyDescent="0.3">
      <c r="H597" s="11"/>
    </row>
    <row r="598" spans="8:8" x14ac:dyDescent="0.3">
      <c r="H598" s="11"/>
    </row>
    <row r="599" spans="8:8" x14ac:dyDescent="0.3">
      <c r="H599" s="11"/>
    </row>
    <row r="600" spans="8:8" x14ac:dyDescent="0.3">
      <c r="H600" s="11"/>
    </row>
    <row r="601" spans="8:8" x14ac:dyDescent="0.3">
      <c r="H601" s="11"/>
    </row>
    <row r="602" spans="8:8" x14ac:dyDescent="0.3">
      <c r="H602" s="11"/>
    </row>
    <row r="603" spans="8:8" x14ac:dyDescent="0.3">
      <c r="H603" s="11"/>
    </row>
    <row r="604" spans="8:8" x14ac:dyDescent="0.3">
      <c r="H604" s="11"/>
    </row>
    <row r="605" spans="8:8" x14ac:dyDescent="0.3">
      <c r="H605" s="11"/>
    </row>
    <row r="606" spans="8:8" x14ac:dyDescent="0.3">
      <c r="H606" s="11"/>
    </row>
    <row r="607" spans="8:8" x14ac:dyDescent="0.3">
      <c r="H607" s="11"/>
    </row>
    <row r="608" spans="8:8" x14ac:dyDescent="0.3">
      <c r="H608" s="11"/>
    </row>
    <row r="609" spans="8:8" x14ac:dyDescent="0.3">
      <c r="H609" s="11"/>
    </row>
    <row r="610" spans="8:8" x14ac:dyDescent="0.3">
      <c r="H610" s="11"/>
    </row>
    <row r="611" spans="8:8" x14ac:dyDescent="0.3">
      <c r="H611" s="11"/>
    </row>
    <row r="612" spans="8:8" x14ac:dyDescent="0.3">
      <c r="H612" s="11"/>
    </row>
    <row r="613" spans="8:8" x14ac:dyDescent="0.3">
      <c r="H613" s="11"/>
    </row>
    <row r="614" spans="8:8" x14ac:dyDescent="0.3">
      <c r="H614" s="11"/>
    </row>
    <row r="615" spans="8:8" x14ac:dyDescent="0.3">
      <c r="H615" s="11"/>
    </row>
    <row r="616" spans="8:8" x14ac:dyDescent="0.3">
      <c r="H616" s="11"/>
    </row>
    <row r="617" spans="8:8" x14ac:dyDescent="0.3">
      <c r="H617" s="11"/>
    </row>
    <row r="618" spans="8:8" x14ac:dyDescent="0.3">
      <c r="H618" s="11"/>
    </row>
    <row r="619" spans="8:8" x14ac:dyDescent="0.3">
      <c r="H619" s="11"/>
    </row>
    <row r="620" spans="8:8" x14ac:dyDescent="0.3">
      <c r="H620" s="11"/>
    </row>
    <row r="621" spans="8:8" x14ac:dyDescent="0.3">
      <c r="H621" s="11"/>
    </row>
    <row r="622" spans="8:8" x14ac:dyDescent="0.3">
      <c r="H622" s="11"/>
    </row>
    <row r="623" spans="8:8" x14ac:dyDescent="0.3">
      <c r="H623" s="11"/>
    </row>
    <row r="624" spans="8:8" x14ac:dyDescent="0.3">
      <c r="H624" s="11"/>
    </row>
    <row r="625" spans="8:8" x14ac:dyDescent="0.3">
      <c r="H625" s="11"/>
    </row>
    <row r="626" spans="8:8" x14ac:dyDescent="0.3">
      <c r="H626" s="11"/>
    </row>
    <row r="627" spans="8:8" x14ac:dyDescent="0.3">
      <c r="H627" s="11"/>
    </row>
    <row r="628" spans="8:8" x14ac:dyDescent="0.3">
      <c r="H628" s="11"/>
    </row>
    <row r="629" spans="8:8" x14ac:dyDescent="0.3">
      <c r="H629" s="11"/>
    </row>
    <row r="630" spans="8:8" x14ac:dyDescent="0.3">
      <c r="H630" s="11"/>
    </row>
    <row r="631" spans="8:8" x14ac:dyDescent="0.3">
      <c r="H631" s="11"/>
    </row>
    <row r="632" spans="8:8" x14ac:dyDescent="0.3">
      <c r="H632" s="11"/>
    </row>
    <row r="633" spans="8:8" x14ac:dyDescent="0.3">
      <c r="H633" s="11"/>
    </row>
    <row r="634" spans="8:8" x14ac:dyDescent="0.3">
      <c r="H634" s="11"/>
    </row>
    <row r="635" spans="8:8" x14ac:dyDescent="0.3">
      <c r="H635" s="11"/>
    </row>
    <row r="636" spans="8:8" x14ac:dyDescent="0.3">
      <c r="H636" s="11"/>
    </row>
    <row r="637" spans="8:8" x14ac:dyDescent="0.3">
      <c r="H637" s="11"/>
    </row>
    <row r="638" spans="8:8" x14ac:dyDescent="0.3">
      <c r="H638" s="11"/>
    </row>
    <row r="639" spans="8:8" x14ac:dyDescent="0.3">
      <c r="H639" s="11"/>
    </row>
    <row r="640" spans="8:8" x14ac:dyDescent="0.3">
      <c r="H640" s="11"/>
    </row>
    <row r="641" spans="8:8" x14ac:dyDescent="0.3">
      <c r="H641" s="11"/>
    </row>
    <row r="642" spans="8:8" x14ac:dyDescent="0.3">
      <c r="H642" s="11"/>
    </row>
    <row r="643" spans="8:8" x14ac:dyDescent="0.3">
      <c r="H643" s="11"/>
    </row>
    <row r="644" spans="8:8" x14ac:dyDescent="0.3">
      <c r="H644" s="11"/>
    </row>
    <row r="645" spans="8:8" x14ac:dyDescent="0.3">
      <c r="H645" s="11"/>
    </row>
    <row r="646" spans="8:8" x14ac:dyDescent="0.3">
      <c r="H646" s="11"/>
    </row>
    <row r="647" spans="8:8" x14ac:dyDescent="0.3">
      <c r="H647" s="11"/>
    </row>
    <row r="648" spans="8:8" x14ac:dyDescent="0.3">
      <c r="H648" s="11"/>
    </row>
    <row r="649" spans="8:8" x14ac:dyDescent="0.3">
      <c r="H649" s="11"/>
    </row>
    <row r="650" spans="8:8" x14ac:dyDescent="0.3">
      <c r="H650" s="11"/>
    </row>
    <row r="651" spans="8:8" x14ac:dyDescent="0.3">
      <c r="H651" s="11"/>
    </row>
    <row r="652" spans="8:8" x14ac:dyDescent="0.3">
      <c r="H652" s="11"/>
    </row>
    <row r="653" spans="8:8" x14ac:dyDescent="0.3">
      <c r="H653" s="11"/>
    </row>
    <row r="654" spans="8:8" x14ac:dyDescent="0.3">
      <c r="H654" s="11"/>
    </row>
    <row r="655" spans="8:8" x14ac:dyDescent="0.3">
      <c r="H655" s="11"/>
    </row>
    <row r="656" spans="8:8" x14ac:dyDescent="0.3">
      <c r="H656" s="11"/>
    </row>
    <row r="657" spans="8:8" x14ac:dyDescent="0.3">
      <c r="H657" s="11"/>
    </row>
    <row r="658" spans="8:8" x14ac:dyDescent="0.3">
      <c r="H658" s="11"/>
    </row>
    <row r="659" spans="8:8" x14ac:dyDescent="0.3">
      <c r="H659" s="11"/>
    </row>
    <row r="660" spans="8:8" x14ac:dyDescent="0.3">
      <c r="H660" s="11"/>
    </row>
    <row r="661" spans="8:8" x14ac:dyDescent="0.3">
      <c r="H661" s="11"/>
    </row>
    <row r="662" spans="8:8" x14ac:dyDescent="0.3">
      <c r="H662" s="11"/>
    </row>
    <row r="663" spans="8:8" x14ac:dyDescent="0.3">
      <c r="H663" s="11"/>
    </row>
    <row r="664" spans="8:8" x14ac:dyDescent="0.3">
      <c r="H664" s="11"/>
    </row>
    <row r="665" spans="8:8" x14ac:dyDescent="0.3">
      <c r="H665" s="11"/>
    </row>
    <row r="666" spans="8:8" x14ac:dyDescent="0.3">
      <c r="H666" s="11"/>
    </row>
    <row r="667" spans="8:8" x14ac:dyDescent="0.3">
      <c r="H667" s="11"/>
    </row>
    <row r="668" spans="8:8" x14ac:dyDescent="0.3">
      <c r="H668" s="11"/>
    </row>
    <row r="669" spans="8:8" x14ac:dyDescent="0.3">
      <c r="H669" s="11"/>
    </row>
    <row r="670" spans="8:8" x14ac:dyDescent="0.3">
      <c r="H670" s="11"/>
    </row>
    <row r="671" spans="8:8" x14ac:dyDescent="0.3">
      <c r="H671" s="11"/>
    </row>
    <row r="672" spans="8:8" x14ac:dyDescent="0.3">
      <c r="H672" s="11"/>
    </row>
    <row r="673" spans="8:8" x14ac:dyDescent="0.3">
      <c r="H673" s="11"/>
    </row>
    <row r="674" spans="8:8" x14ac:dyDescent="0.3">
      <c r="H674" s="11"/>
    </row>
    <row r="675" spans="8:8" x14ac:dyDescent="0.3">
      <c r="H675" s="11"/>
    </row>
    <row r="676" spans="8:8" x14ac:dyDescent="0.3">
      <c r="H676" s="11"/>
    </row>
    <row r="677" spans="8:8" x14ac:dyDescent="0.3">
      <c r="H677" s="11"/>
    </row>
    <row r="678" spans="8:8" x14ac:dyDescent="0.3">
      <c r="H678" s="11"/>
    </row>
    <row r="679" spans="8:8" x14ac:dyDescent="0.3">
      <c r="H679" s="11"/>
    </row>
    <row r="680" spans="8:8" x14ac:dyDescent="0.3">
      <c r="H680" s="11"/>
    </row>
    <row r="681" spans="8:8" x14ac:dyDescent="0.3">
      <c r="H681" s="11"/>
    </row>
    <row r="682" spans="8:8" x14ac:dyDescent="0.3">
      <c r="H682" s="11"/>
    </row>
    <row r="683" spans="8:8" x14ac:dyDescent="0.3">
      <c r="H683" s="11"/>
    </row>
    <row r="684" spans="8:8" x14ac:dyDescent="0.3">
      <c r="H684" s="11"/>
    </row>
    <row r="685" spans="8:8" x14ac:dyDescent="0.3">
      <c r="H685" s="11"/>
    </row>
    <row r="686" spans="8:8" x14ac:dyDescent="0.3">
      <c r="H686" s="11"/>
    </row>
    <row r="687" spans="8:8" x14ac:dyDescent="0.3">
      <c r="H687" s="11"/>
    </row>
    <row r="688" spans="8:8" x14ac:dyDescent="0.3">
      <c r="H688" s="11"/>
    </row>
    <row r="689" spans="8:8" x14ac:dyDescent="0.3">
      <c r="H689" s="11"/>
    </row>
    <row r="690" spans="8:8" x14ac:dyDescent="0.3">
      <c r="H690" s="11"/>
    </row>
    <row r="691" spans="8:8" x14ac:dyDescent="0.3">
      <c r="H691" s="11"/>
    </row>
    <row r="692" spans="8:8" x14ac:dyDescent="0.3">
      <c r="H692" s="11"/>
    </row>
    <row r="693" spans="8:8" x14ac:dyDescent="0.3">
      <c r="H693" s="11"/>
    </row>
    <row r="694" spans="8:8" x14ac:dyDescent="0.3">
      <c r="H694" s="11"/>
    </row>
    <row r="695" spans="8:8" x14ac:dyDescent="0.3">
      <c r="H695" s="11"/>
    </row>
    <row r="696" spans="8:8" x14ac:dyDescent="0.3">
      <c r="H696" s="11"/>
    </row>
    <row r="697" spans="8:8" x14ac:dyDescent="0.3">
      <c r="H697" s="11"/>
    </row>
    <row r="698" spans="8:8" x14ac:dyDescent="0.3">
      <c r="H698" s="11"/>
    </row>
    <row r="699" spans="8:8" x14ac:dyDescent="0.3">
      <c r="H699" s="11"/>
    </row>
    <row r="700" spans="8:8" x14ac:dyDescent="0.3">
      <c r="H700" s="11"/>
    </row>
    <row r="701" spans="8:8" x14ac:dyDescent="0.3">
      <c r="H701" s="11"/>
    </row>
    <row r="702" spans="8:8" x14ac:dyDescent="0.3">
      <c r="H702" s="11"/>
    </row>
    <row r="703" spans="8:8" x14ac:dyDescent="0.3">
      <c r="H703" s="11"/>
    </row>
    <row r="704" spans="8:8" x14ac:dyDescent="0.3">
      <c r="H704" s="11"/>
    </row>
    <row r="705" spans="8:8" x14ac:dyDescent="0.3">
      <c r="H705" s="11"/>
    </row>
    <row r="706" spans="8:8" x14ac:dyDescent="0.3">
      <c r="H706" s="11"/>
    </row>
    <row r="707" spans="8:8" x14ac:dyDescent="0.3">
      <c r="H707" s="11"/>
    </row>
    <row r="708" spans="8:8" x14ac:dyDescent="0.3">
      <c r="H708" s="11"/>
    </row>
    <row r="709" spans="8:8" x14ac:dyDescent="0.3">
      <c r="H709" s="11"/>
    </row>
    <row r="710" spans="8:8" x14ac:dyDescent="0.3">
      <c r="H710" s="11"/>
    </row>
    <row r="711" spans="8:8" x14ac:dyDescent="0.3">
      <c r="H711" s="11"/>
    </row>
    <row r="712" spans="8:8" x14ac:dyDescent="0.3">
      <c r="H712" s="11"/>
    </row>
    <row r="713" spans="8:8" x14ac:dyDescent="0.3">
      <c r="H713" s="11"/>
    </row>
    <row r="714" spans="8:8" x14ac:dyDescent="0.3">
      <c r="H714" s="11"/>
    </row>
    <row r="715" spans="8:8" x14ac:dyDescent="0.3">
      <c r="H715" s="11"/>
    </row>
    <row r="716" spans="8:8" x14ac:dyDescent="0.3">
      <c r="H716" s="11"/>
    </row>
    <row r="717" spans="8:8" x14ac:dyDescent="0.3">
      <c r="H717" s="11"/>
    </row>
    <row r="718" spans="8:8" x14ac:dyDescent="0.3">
      <c r="H718" s="11"/>
    </row>
    <row r="719" spans="8:8" x14ac:dyDescent="0.3">
      <c r="H719" s="11"/>
    </row>
    <row r="720" spans="8:8" x14ac:dyDescent="0.3">
      <c r="H720" s="11"/>
    </row>
    <row r="721" spans="8:8" x14ac:dyDescent="0.3">
      <c r="H721" s="11"/>
    </row>
    <row r="722" spans="8:8" x14ac:dyDescent="0.3">
      <c r="H722" s="11"/>
    </row>
    <row r="723" spans="8:8" x14ac:dyDescent="0.3">
      <c r="H723" s="11"/>
    </row>
    <row r="724" spans="8:8" x14ac:dyDescent="0.3">
      <c r="H724" s="11"/>
    </row>
    <row r="725" spans="8:8" x14ac:dyDescent="0.3">
      <c r="H725" s="11"/>
    </row>
    <row r="726" spans="8:8" x14ac:dyDescent="0.3">
      <c r="H726" s="11"/>
    </row>
    <row r="727" spans="8:8" x14ac:dyDescent="0.3">
      <c r="H727" s="11"/>
    </row>
    <row r="728" spans="8:8" x14ac:dyDescent="0.3">
      <c r="H728" s="11"/>
    </row>
    <row r="729" spans="8:8" x14ac:dyDescent="0.3">
      <c r="H729" s="11"/>
    </row>
    <row r="730" spans="8:8" x14ac:dyDescent="0.3">
      <c r="H730" s="11"/>
    </row>
    <row r="731" spans="8:8" x14ac:dyDescent="0.3">
      <c r="H731" s="11"/>
    </row>
    <row r="732" spans="8:8" x14ac:dyDescent="0.3">
      <c r="H732" s="11"/>
    </row>
    <row r="733" spans="8:8" x14ac:dyDescent="0.3">
      <c r="H733" s="11"/>
    </row>
    <row r="734" spans="8:8" x14ac:dyDescent="0.3">
      <c r="H734" s="11"/>
    </row>
    <row r="735" spans="8:8" x14ac:dyDescent="0.3">
      <c r="H735" s="11"/>
    </row>
    <row r="736" spans="8:8" x14ac:dyDescent="0.3">
      <c r="H736" s="11"/>
    </row>
    <row r="737" spans="8:8" x14ac:dyDescent="0.3">
      <c r="H737" s="11"/>
    </row>
    <row r="738" spans="8:8" x14ac:dyDescent="0.3">
      <c r="H738" s="11"/>
    </row>
    <row r="739" spans="8:8" x14ac:dyDescent="0.3">
      <c r="H739" s="11"/>
    </row>
    <row r="740" spans="8:8" x14ac:dyDescent="0.3">
      <c r="H740" s="11"/>
    </row>
    <row r="741" spans="8:8" x14ac:dyDescent="0.3">
      <c r="H741" s="11"/>
    </row>
    <row r="742" spans="8:8" x14ac:dyDescent="0.3">
      <c r="H742" s="11"/>
    </row>
    <row r="743" spans="8:8" x14ac:dyDescent="0.3">
      <c r="H743" s="11"/>
    </row>
    <row r="744" spans="8:8" x14ac:dyDescent="0.3">
      <c r="H744" s="11"/>
    </row>
    <row r="745" spans="8:8" x14ac:dyDescent="0.3">
      <c r="H745" s="11"/>
    </row>
    <row r="746" spans="8:8" x14ac:dyDescent="0.3">
      <c r="H746" s="11"/>
    </row>
    <row r="747" spans="8:8" x14ac:dyDescent="0.3">
      <c r="H747" s="11"/>
    </row>
    <row r="748" spans="8:8" x14ac:dyDescent="0.3">
      <c r="H748" s="11"/>
    </row>
    <row r="749" spans="8:8" x14ac:dyDescent="0.3">
      <c r="H749" s="11"/>
    </row>
    <row r="750" spans="8:8" x14ac:dyDescent="0.3">
      <c r="H750" s="11"/>
    </row>
    <row r="751" spans="8:8" x14ac:dyDescent="0.3">
      <c r="H751" s="11"/>
    </row>
    <row r="752" spans="8:8" x14ac:dyDescent="0.3">
      <c r="H752" s="11"/>
    </row>
    <row r="753" spans="8:8" x14ac:dyDescent="0.3">
      <c r="H753" s="11"/>
    </row>
    <row r="754" spans="8:8" x14ac:dyDescent="0.3">
      <c r="H754" s="11"/>
    </row>
    <row r="755" spans="8:8" x14ac:dyDescent="0.3">
      <c r="H755" s="11"/>
    </row>
    <row r="756" spans="8:8" x14ac:dyDescent="0.3">
      <c r="H756" s="11"/>
    </row>
    <row r="757" spans="8:8" x14ac:dyDescent="0.3">
      <c r="H757" s="11"/>
    </row>
    <row r="758" spans="8:8" x14ac:dyDescent="0.3">
      <c r="H758" s="11"/>
    </row>
    <row r="759" spans="8:8" x14ac:dyDescent="0.3">
      <c r="H759" s="11"/>
    </row>
    <row r="760" spans="8:8" x14ac:dyDescent="0.3">
      <c r="H760" s="11"/>
    </row>
    <row r="761" spans="8:8" x14ac:dyDescent="0.3">
      <c r="H761" s="11"/>
    </row>
    <row r="762" spans="8:8" x14ac:dyDescent="0.3">
      <c r="H762" s="11"/>
    </row>
    <row r="763" spans="8:8" x14ac:dyDescent="0.3">
      <c r="H763" s="11"/>
    </row>
    <row r="764" spans="8:8" x14ac:dyDescent="0.3">
      <c r="H764" s="11"/>
    </row>
    <row r="765" spans="8:8" x14ac:dyDescent="0.3">
      <c r="H765" s="11"/>
    </row>
    <row r="766" spans="8:8" x14ac:dyDescent="0.3">
      <c r="H766" s="11"/>
    </row>
    <row r="767" spans="8:8" x14ac:dyDescent="0.3">
      <c r="H767" s="11"/>
    </row>
    <row r="768" spans="8:8" x14ac:dyDescent="0.3">
      <c r="H768" s="11"/>
    </row>
    <row r="769" spans="8:8" x14ac:dyDescent="0.3">
      <c r="H769" s="11"/>
    </row>
    <row r="770" spans="8:8" x14ac:dyDescent="0.3">
      <c r="H770" s="11"/>
    </row>
    <row r="771" spans="8:8" x14ac:dyDescent="0.3">
      <c r="H771" s="11"/>
    </row>
    <row r="772" spans="8:8" x14ac:dyDescent="0.3">
      <c r="H772" s="11"/>
    </row>
    <row r="773" spans="8:8" x14ac:dyDescent="0.3">
      <c r="H773" s="11"/>
    </row>
    <row r="774" spans="8:8" x14ac:dyDescent="0.3">
      <c r="H774" s="11"/>
    </row>
    <row r="775" spans="8:8" x14ac:dyDescent="0.3">
      <c r="H775" s="11"/>
    </row>
    <row r="776" spans="8:8" x14ac:dyDescent="0.3">
      <c r="H776" s="11"/>
    </row>
  </sheetData>
  <sheetProtection algorithmName="SHA-512" hashValue="3zguh4fJrvv/JtcW+r15/jyOrcPBxAHNntDH17b8AFQlupeNyye/4rqiQTcrWYcHHdtPEUWuGc6QCp3VDZ86xQ==" saltValue="AfHBlyl22DEAVVpzqQBAEQ==" spinCount="100000" sheet="1" objects="1" scenarios="1"/>
  <conditionalFormatting sqref="B16:E16">
    <cfRule type="containsBlanks" dxfId="61" priority="8">
      <formula>LEN(TRIM(B16))=0</formula>
    </cfRule>
  </conditionalFormatting>
  <conditionalFormatting sqref="F5:F248 G6:G248">
    <cfRule type="expression" dxfId="60" priority="19" stopIfTrue="1">
      <formula>IF($G5="Всього:",TRUE,FALSE)</formula>
    </cfRule>
    <cfRule type="expression" dxfId="59" priority="20" stopIfTrue="1">
      <formula>IF($G4="Всього:",TRUE,FALSE)</formula>
    </cfRule>
    <cfRule type="expression" dxfId="58" priority="21" stopIfTrue="1">
      <formula>IF(IF($I$5=0,$H5&gt;$E$3+2,$H5&gt;$E$3+1),TRUE,FALSE)</formula>
    </cfRule>
  </conditionalFormatting>
  <conditionalFormatting sqref="H5:H248">
    <cfRule type="expression" dxfId="57" priority="22" stopIfTrue="1">
      <formula>IF($G5="Всього:",TRUE,FALSE)</formula>
    </cfRule>
    <cfRule type="expression" dxfId="56" priority="23" stopIfTrue="1">
      <formula>IF($G4="Всього:",TRUE,FALSE)</formula>
    </cfRule>
    <cfRule type="expression" dxfId="55" priority="24" stopIfTrue="1">
      <formula>IF(IF($I$5=0,$H5&gt;$E$3+2,$H5&gt;$E$3+1),TRUE,FALSE)</formula>
    </cfRule>
  </conditionalFormatting>
  <conditionalFormatting sqref="I5:I248">
    <cfRule type="expression" dxfId="54" priority="16" stopIfTrue="1">
      <formula>IF($G5="Всього:",TRUE,FALSE)</formula>
    </cfRule>
    <cfRule type="expression" dxfId="53" priority="17" stopIfTrue="1">
      <formula>IF($G4="Всього:",TRUE,FALSE)</formula>
    </cfRule>
    <cfRule type="expression" dxfId="52" priority="18" stopIfTrue="1">
      <formula>IF(IF($J$5=0,$H5&gt;$E$3+2,$H5&gt;$E$3+1),TRUE,FALSE)</formula>
    </cfRule>
  </conditionalFormatting>
  <conditionalFormatting sqref="J5:K5 N5:N248 J6:M248">
    <cfRule type="expression" dxfId="51" priority="10" stopIfTrue="1">
      <formula>IF($G5="Всього:",TRUE,FALSE)</formula>
    </cfRule>
    <cfRule type="expression" dxfId="50" priority="11" stopIfTrue="1">
      <formula>IF($G4="Всього:",TRUE,FALSE)</formula>
    </cfRule>
    <cfRule type="expression" dxfId="49" priority="12" stopIfTrue="1">
      <formula>IF(IF($J$5=0,$H5&gt;$E$3+2,$H5&gt;$E$3+1),TRUE,FALSE)</formula>
    </cfRule>
  </conditionalFormatting>
  <conditionalFormatting sqref="L5">
    <cfRule type="expression" dxfId="48" priority="9" stopIfTrue="1">
      <formula>IF($G4="Всього:",TRUE,FALSE)</formula>
    </cfRule>
  </conditionalFormatting>
  <conditionalFormatting sqref="O6:O248">
    <cfRule type="expression" dxfId="47" priority="13" stopIfTrue="1">
      <formula>IF($G6="Всього:",TRUE,FALSE)</formula>
    </cfRule>
    <cfRule type="expression" dxfId="46" priority="14" stopIfTrue="1">
      <formula>IF($G5="Всього:",TRUE,FALSE)</formula>
    </cfRule>
    <cfRule type="expression" dxfId="45" priority="15" stopIfTrue="1">
      <formula>IF(IF($J$5=0,$H6&gt;$E$3+2,$H6&gt;$E$3+1),TRUE,FALSE)</formula>
    </cfRule>
  </conditionalFormatting>
  <conditionalFormatting sqref="Y28">
    <cfRule type="colorScale" priority="1">
      <colorScale>
        <cfvo type="min"/>
        <cfvo type="percentile" val="50"/>
        <cfvo type="max"/>
        <color rgb="FFF8696B"/>
        <color rgb="FFFFEB84"/>
        <color rgb="FF63BE7B"/>
      </colorScale>
    </cfRule>
  </conditionalFormatting>
  <conditionalFormatting sqref="Y16:AC20">
    <cfRule type="colorScale" priority="4">
      <colorScale>
        <cfvo type="min"/>
        <cfvo type="percentile" val="50"/>
        <cfvo type="max"/>
        <color rgb="FFF8696B"/>
        <color rgb="FFFFEB84"/>
        <color rgb="FF63BE7B"/>
      </colorScale>
    </cfRule>
  </conditionalFormatting>
  <conditionalFormatting sqref="Y23:AC27">
    <cfRule type="colorScale" priority="3">
      <colorScale>
        <cfvo type="min"/>
        <cfvo type="percentile" val="50"/>
        <cfvo type="max"/>
        <color rgb="FFF8696B"/>
        <color rgb="FFFFEB84"/>
        <color rgb="FF63BE7B"/>
      </colorScale>
    </cfRule>
  </conditionalFormatting>
  <conditionalFormatting sqref="AF19:AJ23">
    <cfRule type="colorScale" priority="2">
      <colorScale>
        <cfvo type="min"/>
        <cfvo type="percentile" val="50"/>
        <cfvo type="max"/>
        <color rgb="FFF8696B"/>
        <color rgb="FFFFEB84"/>
        <color rgb="FF63BE7B"/>
      </colorScale>
    </cfRule>
  </conditionalFormatting>
  <pageMargins left="0.75" right="0.75" top="1" bottom="1" header="0.5" footer="0.5"/>
  <pageSetup paperSize="9" scale="75" fitToHeight="10" orientation="landscape" r:id="rId1"/>
  <headerFooter alignWithMargins="0">
    <oddHeader>&amp;R&amp;"Calibri"&amp;10&amp;KFF0000 КОНФІДЕНЦІЙНА ІНФОРМАЦІЯ&amp;1#_x000D_</oddHeader>
  </headerFooter>
  <ignoredErrors>
    <ignoredError sqref="F248:H248 H90:H247 L90:O247 J90:J247 J248:O248" evalError="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EC7E-1986-4124-A365-29A084A8CE60}">
  <sheetPr codeName="Аркуш8"/>
  <dimension ref="A1:BV1754"/>
  <sheetViews>
    <sheetView tabSelected="1" topLeftCell="B1" zoomScale="85" zoomScaleNormal="85" zoomScaleSheetLayoutView="100" workbookViewId="0">
      <selection activeCell="N13" sqref="N13:N14"/>
    </sheetView>
  </sheetViews>
  <sheetFormatPr defaultColWidth="9.33203125" defaultRowHeight="14.4" x14ac:dyDescent="0.3"/>
  <cols>
    <col min="1" max="1" width="0.6640625" style="46" customWidth="1"/>
    <col min="2" max="2" width="3.33203125" style="41" customWidth="1"/>
    <col min="3" max="3" width="6.5546875" style="41" customWidth="1"/>
    <col min="4" max="4" width="22.6640625" style="41" customWidth="1"/>
    <col min="5" max="5" width="8.6640625" style="41" customWidth="1"/>
    <col min="6" max="6" width="16.33203125" style="41" customWidth="1"/>
    <col min="7" max="7" width="6.33203125" style="41" customWidth="1"/>
    <col min="8" max="8" width="12.6640625" style="47" customWidth="1"/>
    <col min="9" max="9" width="2.44140625" style="48" hidden="1" customWidth="1"/>
    <col min="10" max="10" width="4" style="3" hidden="1" customWidth="1"/>
    <col min="11" max="11" width="2" style="41" hidden="1" customWidth="1"/>
    <col min="12" max="12" width="22" style="41" customWidth="1"/>
    <col min="13" max="13" width="32.33203125" style="41" customWidth="1"/>
    <col min="14" max="14" width="39" style="41" customWidth="1"/>
    <col min="15" max="15" width="27" style="63" hidden="1" customWidth="1"/>
    <col min="16" max="16" width="9.33203125" style="63" hidden="1" customWidth="1"/>
    <col min="17" max="17" width="20" style="62" hidden="1" customWidth="1"/>
    <col min="18" max="18" width="13" style="62" hidden="1" customWidth="1"/>
    <col min="19" max="19" width="25" style="62" hidden="1" customWidth="1"/>
    <col min="20" max="20" width="9.33203125" style="62" hidden="1" customWidth="1"/>
    <col min="21" max="21" width="10.6640625" style="62" hidden="1" customWidth="1"/>
    <col min="22" max="22" width="12.6640625" style="62" hidden="1" customWidth="1"/>
    <col min="23" max="25" width="9.33203125" style="62" hidden="1" customWidth="1"/>
    <col min="26" max="26" width="11.44140625" style="116" hidden="1" customWidth="1"/>
    <col min="27" max="27" width="11" style="62" hidden="1" customWidth="1"/>
    <col min="28" max="28" width="14.6640625" style="62" hidden="1" customWidth="1"/>
    <col min="29" max="30" width="9.33203125" style="62" hidden="1" customWidth="1"/>
    <col min="31" max="31" width="13.44140625" style="62" hidden="1" customWidth="1"/>
    <col min="32" max="36" width="9.33203125" style="62" hidden="1" customWidth="1"/>
    <col min="37" max="37" width="14.6640625" style="62" hidden="1" customWidth="1"/>
    <col min="38" max="39" width="9.33203125" style="62" hidden="1" customWidth="1"/>
    <col min="40" max="40" width="12.6640625" style="62" hidden="1" customWidth="1"/>
    <col min="41" max="41" width="9.33203125" style="69" hidden="1" customWidth="1"/>
    <col min="42" max="45" width="9.33203125" style="62" hidden="1" customWidth="1"/>
    <col min="46" max="46" width="13.44140625" style="62" hidden="1" customWidth="1"/>
    <col min="47" max="47" width="17.33203125" style="63" hidden="1" customWidth="1"/>
    <col min="48" max="48" width="11" style="63" hidden="1" customWidth="1"/>
    <col min="49" max="49" width="14.6640625" style="63" hidden="1" customWidth="1"/>
    <col min="50" max="50" width="16.44140625" style="63" hidden="1" customWidth="1"/>
    <col min="51" max="53" width="9.33203125" style="41" hidden="1" customWidth="1"/>
    <col min="54" max="54" width="31.5546875" style="41" hidden="1" customWidth="1"/>
    <col min="55" max="55" width="21.33203125" style="41" hidden="1" customWidth="1"/>
    <col min="56" max="58" width="9.33203125" style="41" hidden="1" customWidth="1"/>
    <col min="59" max="59" width="14.33203125" style="41" hidden="1" customWidth="1"/>
    <col min="60" max="61" width="9.33203125" style="41" hidden="1" customWidth="1"/>
    <col min="62" max="62" width="17.44140625" style="41" hidden="1" customWidth="1"/>
    <col min="63" max="63" width="9.33203125" style="41" hidden="1" customWidth="1"/>
    <col min="64" max="64" width="14" style="41" hidden="1" customWidth="1"/>
    <col min="65" max="66" width="9.33203125" style="41" hidden="1" customWidth="1"/>
    <col min="67" max="67" width="8.33203125" style="41" hidden="1" customWidth="1"/>
    <col min="68" max="68" width="9.33203125" style="41" hidden="1" customWidth="1"/>
    <col min="69" max="69" width="16" style="41" hidden="1" customWidth="1"/>
    <col min="70" max="71" width="9.33203125" style="41" hidden="1" customWidth="1"/>
    <col min="72" max="72" width="18.5546875" style="41" hidden="1" customWidth="1"/>
    <col min="73" max="73" width="12.33203125" style="41" hidden="1" customWidth="1"/>
    <col min="74" max="74" width="9.33203125" style="41" hidden="1" customWidth="1"/>
    <col min="75" max="231" width="9.33203125" style="41" customWidth="1"/>
    <col min="232" max="16384" width="9.33203125" style="41"/>
  </cols>
  <sheetData>
    <row r="1" spans="1:73" ht="141" customHeight="1" thickBot="1" x14ac:dyDescent="0.35">
      <c r="A1" s="168"/>
      <c r="B1" s="164"/>
      <c r="C1" s="164"/>
      <c r="D1" s="164"/>
      <c r="E1" s="165"/>
      <c r="F1" s="165"/>
      <c r="G1" s="166"/>
      <c r="H1" s="164"/>
      <c r="I1" s="164"/>
      <c r="J1" s="164"/>
      <c r="K1" s="164"/>
      <c r="L1" s="164"/>
      <c r="M1" s="164"/>
      <c r="N1" s="167"/>
      <c r="O1" s="62"/>
      <c r="Q1" s="64"/>
      <c r="R1" s="65" t="s">
        <v>412</v>
      </c>
      <c r="T1" s="66"/>
      <c r="U1" s="67"/>
      <c r="V1" s="67"/>
      <c r="W1" s="67"/>
      <c r="X1" s="67"/>
      <c r="Y1" s="67"/>
      <c r="AC1" s="68" t="s">
        <v>345</v>
      </c>
      <c r="AD1" s="68"/>
      <c r="AE1" s="68"/>
      <c r="AF1" s="68"/>
      <c r="AG1" s="68"/>
      <c r="AH1" s="68"/>
      <c r="AI1" s="68"/>
      <c r="AJ1" s="68"/>
      <c r="AL1" s="62" t="s">
        <v>351</v>
      </c>
      <c r="AZ1" s="41">
        <v>0</v>
      </c>
      <c r="BB1" s="42" t="s">
        <v>438</v>
      </c>
      <c r="BC1" s="259">
        <f ca="1">TODAY()</f>
        <v>46181</v>
      </c>
      <c r="BG1" s="42"/>
      <c r="BH1" s="42" t="s">
        <v>521</v>
      </c>
      <c r="BI1" s="42"/>
      <c r="BJ1" s="42"/>
      <c r="BK1" s="42"/>
      <c r="BL1" s="42"/>
      <c r="BM1" s="42"/>
      <c r="BN1" s="42"/>
      <c r="BO1" s="42"/>
    </row>
    <row r="2" spans="1:73" ht="46.2" customHeight="1" thickBot="1" x14ac:dyDescent="0.4">
      <c r="A2" s="43"/>
      <c r="B2" s="377" t="s">
        <v>479</v>
      </c>
      <c r="C2" s="378"/>
      <c r="D2" s="378"/>
      <c r="E2" s="379" t="s">
        <v>541</v>
      </c>
      <c r="F2" s="380"/>
      <c r="G2" s="170"/>
      <c r="H2" s="170"/>
      <c r="I2" s="170"/>
      <c r="J2" s="171"/>
      <c r="K2" s="172"/>
      <c r="L2" s="377" t="s">
        <v>313</v>
      </c>
      <c r="M2" s="381"/>
      <c r="N2" s="208" t="e">
        <f>IF(R9&gt;0.8,"Не достатня сума авансу",IF(E4&gt;2500000,IF(R9&gt;0.7,IF(X4=3,0,IF(R16&gt;4000000,IF(R16&gt;6000000,"Сума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млн.)",R16)))),IF(E4&gt;4000000,IF(R9&gt;0.6,IF(X4=3,0,IF(R16&gt;4000000,IF(R16&gt;6000000,"Сума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f>
        <v>#DIV/0!</v>
      </c>
      <c r="O2" s="63" t="s">
        <v>526</v>
      </c>
      <c r="P2" s="63">
        <f>IF(N7="ні",N6,0)</f>
        <v>0</v>
      </c>
      <c r="R2" s="70">
        <v>12</v>
      </c>
      <c r="S2" s="67"/>
      <c r="T2" s="71"/>
      <c r="U2" s="72" t="s">
        <v>414</v>
      </c>
      <c r="V2" s="71"/>
      <c r="W2" s="73">
        <f>IF(AND(V3=1,W3=1),2,0)</f>
        <v>0</v>
      </c>
      <c r="X2" s="169">
        <f>IF(OR(E4=0,AND(F8=0,F10=0),E12=0),1,0)</f>
        <v>1</v>
      </c>
      <c r="Y2" s="67"/>
      <c r="Z2" s="199" t="s">
        <v>488</v>
      </c>
      <c r="AA2" s="198" t="s">
        <v>503</v>
      </c>
      <c r="AC2" s="382" t="s">
        <v>415</v>
      </c>
      <c r="AD2" s="383"/>
      <c r="AE2" s="383"/>
      <c r="AF2" s="383"/>
      <c r="AG2" s="383"/>
      <c r="AH2" s="383"/>
      <c r="AI2" s="383"/>
      <c r="AJ2" s="384"/>
      <c r="AL2" s="363" t="s">
        <v>415</v>
      </c>
      <c r="AM2" s="364"/>
      <c r="AN2" s="364"/>
      <c r="AO2" s="364"/>
      <c r="AP2" s="364"/>
      <c r="AQ2" s="364"/>
      <c r="AR2" s="364"/>
      <c r="AS2" s="364"/>
      <c r="AT2" s="365"/>
      <c r="AV2" s="75"/>
      <c r="AW2" s="63" t="b">
        <f>IF(E12=R8,N8+AW16+AW28+AW40+AW52+AW64+AW76,IF(E12=R7,N8+AW16+AW28+AW40+AW52+AW64,IF(E12=R6,N8+AW16+AW28+AW40+AW52,IF(E12=R5,N8+AW16+AW28+AW40,IF(E12=R4,N8+AW16+AW28,IF(E12=R3,N8+AW16,IF(E12=R2,N8)))))))</f>
        <v>0</v>
      </c>
      <c r="AX2" s="63" t="b">
        <f>IF(E12=R8,#REF!+AX16+AX28+AX40+AX52+AX64+AX76,IF(E12=R7,#REF!+AX16+AX28+AX40+AX52+AX64,IF(E12=R6,#REF!+AX16+AX28+AX40+AX52,IF(E12=R5,#REF!+AX16+AX28+AX40,IF(E12=R4,#REF!+AX16+AX28,IF(E12=R3,#REF!+AX16,IF(E12=R2,#REF!)))))))</f>
        <v>0</v>
      </c>
      <c r="AZ2" s="284">
        <v>1E-4</v>
      </c>
      <c r="BB2" s="42" t="s">
        <v>439</v>
      </c>
      <c r="BC2" s="260">
        <f ca="1">DAY(BC1)</f>
        <v>8</v>
      </c>
      <c r="BG2" s="42"/>
      <c r="BH2" s="230" t="s">
        <v>415</v>
      </c>
      <c r="BI2" s="231"/>
      <c r="BJ2" s="231"/>
      <c r="BK2" s="231"/>
      <c r="BL2" s="231"/>
      <c r="BM2" s="231"/>
      <c r="BN2" s="231"/>
      <c r="BO2" s="232"/>
      <c r="BQ2" s="53"/>
      <c r="BR2" s="233"/>
      <c r="BS2"/>
      <c r="BT2" s="234" t="s">
        <v>522</v>
      </c>
      <c r="BU2" s="41" t="s">
        <v>503</v>
      </c>
    </row>
    <row r="3" spans="1:73" ht="38.4" customHeight="1" thickBot="1" x14ac:dyDescent="0.4">
      <c r="A3" s="50"/>
      <c r="B3" s="173"/>
      <c r="C3" s="173"/>
      <c r="D3" s="173"/>
      <c r="E3" s="173"/>
      <c r="F3" s="173"/>
      <c r="G3" s="170"/>
      <c r="H3" s="173"/>
      <c r="I3" s="173"/>
      <c r="J3" s="173"/>
      <c r="K3" s="173"/>
      <c r="L3" s="376" t="e">
        <f>IF(R9&gt;0.8,"Не достатня сума авансу",IF(E4&gt;2500000,IF(R9&gt;0.7,"Не достатня сума авансу",IF(E4&gt;4000000,IF(R9&gt;0.6,"Не достатня сума авансу",IF(X4=3,0,IF(R16&gt;6000000,"Сума кредиту не може перевищувати 6 000 000 грн",IF(R16&lt;100000,"Сума кредиту не може бути менше 100 000 грн","")))),IF(X4=3,0,IF(R16&gt;6000000,"Сума кредиту не може перевищувати 6 000 000 грн",IF(R16&lt;100000,"Сума кредиту не може бути менше 100 000 грн",""))))),IF(X4=3,0,IF(R16&gt;6000000,"Сума кредиту не може перевищувати 6 000 000 грн",IF(R16&lt;100000,"Сума кредиту не може бути менше 100 000 грн","")))))</f>
        <v>#DIV/0!</v>
      </c>
      <c r="M3" s="376"/>
      <c r="N3" s="376"/>
      <c r="R3" s="70">
        <v>36</v>
      </c>
      <c r="S3" s="76"/>
      <c r="T3" s="73" t="b">
        <v>0</v>
      </c>
      <c r="U3" s="77" t="s">
        <v>480</v>
      </c>
      <c r="V3" s="73">
        <f>IF(E2="",0,1)</f>
        <v>1</v>
      </c>
      <c r="W3" s="73">
        <f>IF(E4="",0,1)</f>
        <v>0</v>
      </c>
      <c r="X3" s="73">
        <f>IF(AND(F8=0,F10=0),0,IF(AND(F8&gt;0,F10=""),1,IF(AND(F8=0,F10&gt;0),2,3)))</f>
        <v>0</v>
      </c>
      <c r="Y3" s="67"/>
      <c r="Z3" s="133">
        <f>Z16+Z28+Z40+Z52+Z64+Z76</f>
        <v>0</v>
      </c>
      <c r="AA3" s="196" t="e">
        <f>-N2+R36+R37+R38+R39+R40</f>
        <v>#DIV/0!</v>
      </c>
      <c r="AB3" s="195">
        <f ca="1">V19</f>
        <v>46181</v>
      </c>
      <c r="AC3" s="366" t="s">
        <v>321</v>
      </c>
      <c r="AD3" s="367"/>
      <c r="AE3" s="79" t="s">
        <v>417</v>
      </c>
      <c r="AF3" s="79" t="s">
        <v>418</v>
      </c>
      <c r="AG3" s="368" t="s">
        <v>419</v>
      </c>
      <c r="AH3" s="369"/>
      <c r="AI3" s="368" t="s">
        <v>420</v>
      </c>
      <c r="AJ3" s="369"/>
      <c r="AK3" s="80" t="s">
        <v>416</v>
      </c>
      <c r="AL3" s="366" t="s">
        <v>321</v>
      </c>
      <c r="AM3" s="367"/>
      <c r="AN3" s="79" t="s">
        <v>417</v>
      </c>
      <c r="AO3" s="79" t="s">
        <v>418</v>
      </c>
      <c r="AP3" s="368" t="s">
        <v>419</v>
      </c>
      <c r="AQ3" s="369"/>
      <c r="AR3" s="368" t="s">
        <v>420</v>
      </c>
      <c r="AS3" s="369"/>
      <c r="AT3" s="79" t="s">
        <v>327</v>
      </c>
      <c r="AU3" s="81" t="e">
        <f>-N2+N8+#REF!+N12+N6+#REF!</f>
        <v>#DIV/0!</v>
      </c>
      <c r="AZ3" s="284">
        <v>2.0000000000000001E-4</v>
      </c>
      <c r="BB3" s="42" t="s">
        <v>416</v>
      </c>
      <c r="BC3" s="261">
        <f ca="1">MONTH(BC1)</f>
        <v>6</v>
      </c>
      <c r="BG3" s="235" t="s">
        <v>416</v>
      </c>
      <c r="BH3" s="236" t="s">
        <v>321</v>
      </c>
      <c r="BI3" s="237"/>
      <c r="BJ3" s="238" t="s">
        <v>417</v>
      </c>
      <c r="BK3" s="238" t="s">
        <v>418</v>
      </c>
      <c r="BL3" s="239" t="s">
        <v>419</v>
      </c>
      <c r="BM3" s="240"/>
      <c r="BN3" s="239" t="s">
        <v>420</v>
      </c>
      <c r="BO3" s="241"/>
      <c r="BQ3" s="242" t="s">
        <v>523</v>
      </c>
      <c r="BR3" s="243" t="s">
        <v>330</v>
      </c>
      <c r="BS3" s="244" t="s">
        <v>524</v>
      </c>
      <c r="BT3" s="245" t="e">
        <f>$BC$19</f>
        <v>#DIV/0!</v>
      </c>
      <c r="BU3" s="279" t="e">
        <f>-N2+R36+R37+R38+R39+R40</f>
        <v>#DIV/0!</v>
      </c>
    </row>
    <row r="4" spans="1:73" ht="30" customHeight="1" thickBot="1" x14ac:dyDescent="0.4">
      <c r="A4" s="42"/>
      <c r="B4" s="377" t="s">
        <v>421</v>
      </c>
      <c r="C4" s="378"/>
      <c r="D4" s="381"/>
      <c r="E4" s="387"/>
      <c r="F4" s="388"/>
      <c r="G4" s="170"/>
      <c r="H4" s="174"/>
      <c r="I4" s="174"/>
      <c r="K4" s="207"/>
      <c r="L4" s="323" t="s">
        <v>481</v>
      </c>
      <c r="M4" s="337"/>
      <c r="N4" s="176" t="str">
        <f>IF(X4=1,F8/E4,IF(X4=2,E4/100*F10,""))</f>
        <v/>
      </c>
      <c r="O4" s="63" t="s">
        <v>527</v>
      </c>
      <c r="P4" s="63">
        <f>IF(N9="ні",N8,0)</f>
        <v>0</v>
      </c>
      <c r="R4" s="91">
        <v>84</v>
      </c>
      <c r="S4" s="76"/>
      <c r="T4" s="71"/>
      <c r="U4" s="82">
        <f>IF(T3="Сума авансового платежу перевищує вартість авто",1,IF(T3="Сума авансового платежу дорівнює вартості авто",1,IF(T3="Сума авансового платежу недостатня",1,0)))</f>
        <v>0</v>
      </c>
      <c r="V4" s="73">
        <f>IF(F8="",0,1)</f>
        <v>0</v>
      </c>
      <c r="W4" s="73">
        <f>IF(F10="",0,1)</f>
        <v>0</v>
      </c>
      <c r="X4" s="73">
        <f>IF(AND(V4=1,W4=0),1,IF(AND(W4=1,V4=0),2,IF(AND(V4=1,W4=1),3,IF(AND(V4=0,W4=0),4))))</f>
        <v>4</v>
      </c>
      <c r="AA4" s="196" t="e">
        <f>AI4</f>
        <v>#VALUE!</v>
      </c>
      <c r="AB4" s="185">
        <f ca="1">IF(AND(DAY(V19)&lt;=15,$V$20&gt;DAY(V19)),DATE(YEAR(V19),MONTH(V19),IF($V$20&lt;&gt;"",DAY(IF($V$20&gt;DAY(EOMONTH(V19,0)),EOMONTH(V19,0),$V$20)),DAY(1))),DATE(YEAR(V19),MONTH(V19)+1,IF($V$20&lt;&gt;"",DAY(IF($V$20&gt;DAY(EOMONTH(V19,1)),EOMONTH(V19,1),$V$20)),DAY(1))))</f>
        <v>46211</v>
      </c>
      <c r="AC4" s="370">
        <v>1</v>
      </c>
      <c r="AD4" s="371"/>
      <c r="AE4" s="83" t="e">
        <f>IF($U$2=$X$17,PPMT($E$14/1200,AC4,$E$12,-$N$2))</f>
        <v>#VALUE!</v>
      </c>
      <c r="AF4" s="84"/>
      <c r="AG4" s="389" t="e">
        <f>IF($AE$4=0,$N$2*($E$14/100)*(AB4-$V$19+1)/360,IPMT($E$14/1200,AC4,$E$12,-$N$2))</f>
        <v>#VALUE!</v>
      </c>
      <c r="AH4" s="390"/>
      <c r="AI4" s="385" t="e">
        <f>AG4+AE4</f>
        <v>#VALUE!</v>
      </c>
      <c r="AJ4" s="386"/>
      <c r="AK4" s="85">
        <f ca="1">DATE(YEAR($V$19),MONTH($V$19)+1,DAY(1)-1)</f>
        <v>46203</v>
      </c>
      <c r="AL4" s="370">
        <v>1</v>
      </c>
      <c r="AM4" s="371"/>
      <c r="AN4" s="86" t="e">
        <f ca="1">IF($V$20&gt;15,0,$N$2/$E$12)</f>
        <v>#DIV/0!</v>
      </c>
      <c r="AO4" s="87"/>
      <c r="AP4" s="372" t="e">
        <f ca="1">IF(AN4=0,$N$2*($E$14/100)*(AK4-$V$19+1)/360,$N$2*$E$14/100*31/360)</f>
        <v>#DIV/0!</v>
      </c>
      <c r="AQ4" s="373"/>
      <c r="AR4" s="374" t="e">
        <f ca="1">AP4</f>
        <v>#DIV/0!</v>
      </c>
      <c r="AS4" s="375"/>
      <c r="AT4" s="87"/>
      <c r="AU4" s="75" t="e">
        <f>AI4</f>
        <v>#VALUE!</v>
      </c>
      <c r="AZ4" s="284">
        <v>2.9999999999999997E-4</v>
      </c>
      <c r="BB4" s="213"/>
      <c r="BC4" s="215"/>
      <c r="BG4" s="246">
        <f ca="1">DATE(YEAR($BC$1),MONTH($BC$1)+1,DAY(1)-1)</f>
        <v>46203</v>
      </c>
      <c r="BH4" s="289">
        <v>1</v>
      </c>
      <c r="BI4" s="290"/>
      <c r="BJ4" s="247" t="e">
        <f>BS4</f>
        <v>#VALUE!</v>
      </c>
      <c r="BK4" s="248"/>
      <c r="BL4" s="291" t="e">
        <f>IF($AE$3=0,BT3*($BC$20)*(BG4-$BC$1+1)/360,BR4)</f>
        <v>#DIV/0!</v>
      </c>
      <c r="BM4" s="292"/>
      <c r="BN4" s="249" t="e">
        <f>BL4+BJ4</f>
        <v>#DIV/0!</v>
      </c>
      <c r="BO4" s="250"/>
      <c r="BQ4" s="53" t="e">
        <f>$BC$30</f>
        <v>#VALUE!</v>
      </c>
      <c r="BR4" s="233" t="e">
        <f>IF(BH4&lt;=$BC$23,($BC$20/12)*BT3,($BC$21/12)*BT3)</f>
        <v>#DIV/0!</v>
      </c>
      <c r="BS4" s="245" t="e">
        <f>BQ4-BR4</f>
        <v>#VALUE!</v>
      </c>
      <c r="BT4" s="245" t="e">
        <f>BT3-BS4</f>
        <v>#DIV/0!</v>
      </c>
      <c r="BU4" s="280" t="e">
        <f>BN4</f>
        <v>#DIV/0!</v>
      </c>
    </row>
    <row r="5" spans="1:73" ht="7.2" customHeight="1" thickBot="1" x14ac:dyDescent="0.4">
      <c r="A5" s="48"/>
      <c r="B5" s="174"/>
      <c r="C5" s="174"/>
      <c r="D5" s="174"/>
      <c r="E5" s="174"/>
      <c r="F5" s="174"/>
      <c r="G5" s="170"/>
      <c r="H5" s="174"/>
      <c r="I5" s="174"/>
      <c r="J5" s="174"/>
      <c r="K5" s="174"/>
      <c r="L5" s="174"/>
      <c r="M5" s="174"/>
      <c r="N5" s="174"/>
      <c r="R5" s="88">
        <v>48</v>
      </c>
      <c r="T5" s="71"/>
      <c r="V5" s="71"/>
      <c r="W5" s="78"/>
      <c r="X5" s="71"/>
      <c r="Y5" s="67"/>
      <c r="AA5" s="196" t="str">
        <f t="shared" ref="AA5:AA68" si="0">AI5</f>
        <v>-</v>
      </c>
      <c r="AB5" s="185" t="str">
        <f>IF(AC5&gt;$V$26,"-",IF($V$26=AC5,$V$25,DATE(YEAR(AB4),MONTH(AB4)+1,IF($V$20&lt;&gt;"",DAY(IF($V$20&gt;DAY(EOMONTH(AB4,1)),EOMONTH(AB4,1),$V$20)),DAY(1)))))</f>
        <v>-</v>
      </c>
      <c r="AC5" s="353">
        <v>2</v>
      </c>
      <c r="AD5" s="354"/>
      <c r="AE5" s="83" t="str">
        <f>IF(AC5&gt;$V$26,"-",IF($AE$4=0,PPMT($E$14/1200,AC4,$E$12,-$N$2),PPMT($E$14/1200,AC5,$E$12,-$N$2)))</f>
        <v>-</v>
      </c>
      <c r="AF5" s="84"/>
      <c r="AG5" s="355" t="str">
        <f>IF(AC5&gt;$V$26,"-",IF($AE$4=0,IPMT($E$14/1200,AC4,$E$12,-$N$2),IPMT($E$14/1200,AC5,$E$12,-$N$2)))</f>
        <v>-</v>
      </c>
      <c r="AH5" s="356"/>
      <c r="AI5" s="357" t="str">
        <f>IF(AC5&gt;$V$26,"-",AG5+AE5)</f>
        <v>-</v>
      </c>
      <c r="AJ5" s="358"/>
      <c r="AK5" s="85">
        <f t="shared" ref="AK5:AK68" ca="1" si="1">IF(AL5="","",DATE(YEAR(AK4),MONTH(AK4)+2,DAY(1)-1))</f>
        <v>46234</v>
      </c>
      <c r="AL5" s="353">
        <v>2</v>
      </c>
      <c r="AM5" s="354"/>
      <c r="AN5" s="86" t="e">
        <f t="shared" ref="AN5:AN68" si="2">$N$2/$E$12</f>
        <v>#DIV/0!</v>
      </c>
      <c r="AO5" s="87"/>
      <c r="AP5" s="359" t="e">
        <f t="shared" ref="AP5:AP68" ca="1" si="3">AT5*$E$14/100*(AK5-AK4)/360</f>
        <v>#DIV/0!</v>
      </c>
      <c r="AQ5" s="360"/>
      <c r="AR5" s="361" t="e">
        <f t="shared" ref="AR5:AR68" ca="1" si="4">AN5+AP5</f>
        <v>#DIV/0!</v>
      </c>
      <c r="AS5" s="362"/>
      <c r="AT5" s="87" t="e">
        <f ca="1">$N$2-AN4</f>
        <v>#DIV/0!</v>
      </c>
      <c r="AU5" s="75" t="str">
        <f t="shared" ref="AU5:AU68" si="5">AI5</f>
        <v>-</v>
      </c>
      <c r="AZ5" s="284">
        <v>4.0000000000000002E-4</v>
      </c>
      <c r="BB5" s="213"/>
      <c r="BC5" s="216"/>
      <c r="BG5" s="246">
        <f ca="1">DATE(YEAR(BG4),MONTH(BG4)+2,DAY(1)-1)</f>
        <v>46234</v>
      </c>
      <c r="BH5" s="287" t="str">
        <f>IF($E$12&gt;=BH4,BH4+1,"")</f>
        <v/>
      </c>
      <c r="BI5" s="288"/>
      <c r="BJ5" s="247" t="e">
        <f>IF($BJ$4=0,BS4,BS5)</f>
        <v>#VALUE!</v>
      </c>
      <c r="BK5" s="248"/>
      <c r="BL5" s="293" t="e">
        <f>IF($AE$4=0,BR4,BR5)</f>
        <v>#VALUE!</v>
      </c>
      <c r="BM5" s="293"/>
      <c r="BN5" s="249" t="e">
        <f>BL5+BJ5</f>
        <v>#VALUE!</v>
      </c>
      <c r="BO5" s="250"/>
      <c r="BQ5" s="53" t="e">
        <f t="shared" ref="BQ5:BQ68" si="6">$BC$30</f>
        <v>#VALUE!</v>
      </c>
      <c r="BR5" s="233" t="e">
        <f t="shared" ref="BR5:BR68" si="7">IF(BH5&lt;=$BC$23,($BC$20/12)*BT4,($BC$21/12)*BT4)</f>
        <v>#DIV/0!</v>
      </c>
      <c r="BS5" s="245" t="e">
        <f t="shared" ref="BS5:BS68" si="8">BQ5-BR5</f>
        <v>#VALUE!</v>
      </c>
      <c r="BT5" s="245" t="e">
        <f t="shared" ref="BT5:BT67" si="9">BT4-BS5</f>
        <v>#DIV/0!</v>
      </c>
      <c r="BU5" s="280" t="e">
        <f t="shared" ref="BU5:BU14" si="10">BN5</f>
        <v>#VALUE!</v>
      </c>
    </row>
    <row r="6" spans="1:73" ht="22.95" customHeight="1" thickBot="1" x14ac:dyDescent="0.4">
      <c r="A6" s="48"/>
      <c r="B6" s="377" t="s">
        <v>495</v>
      </c>
      <c r="C6" s="378"/>
      <c r="D6" s="381"/>
      <c r="E6" s="391"/>
      <c r="F6" s="392"/>
      <c r="G6" s="170"/>
      <c r="H6" s="174"/>
      <c r="I6" s="170"/>
      <c r="J6" s="171"/>
      <c r="K6" s="172"/>
      <c r="L6" s="323" t="s">
        <v>404</v>
      </c>
      <c r="M6" s="337"/>
      <c r="N6" s="176">
        <f>R37</f>
        <v>0</v>
      </c>
      <c r="O6" s="63" t="s">
        <v>526</v>
      </c>
      <c r="R6" s="89">
        <v>60</v>
      </c>
      <c r="S6" s="62">
        <v>60</v>
      </c>
      <c r="T6" s="71"/>
      <c r="W6" s="78"/>
      <c r="X6" s="71"/>
      <c r="Y6" s="67"/>
      <c r="AA6" s="196" t="str">
        <f t="shared" si="0"/>
        <v>-</v>
      </c>
      <c r="AB6" s="185" t="str">
        <f t="shared" ref="AB6:AB69" si="11">IF(AC6&gt;$V$26,"-",IF($V$26=AC6,$V$25,DATE(YEAR(AB5),MONTH(AB5)+1,IF($V$20&lt;&gt;"",DAY(IF($V$20&gt;DAY(EOMONTH(AB5,1)),EOMONTH(AB5,1),$V$20)),DAY(1)))))</f>
        <v>-</v>
      </c>
      <c r="AC6" s="353">
        <v>3</v>
      </c>
      <c r="AD6" s="354"/>
      <c r="AE6" s="83" t="str">
        <f t="shared" ref="AE6:AE69" si="12">IF(AC6&gt;$V$26,"-",IF($AE$4=0,PPMT($E$14/1200,AC5,$E$12,-$N$2),PPMT($E$14/1200,AC6,$E$12,-$N$2)))</f>
        <v>-</v>
      </c>
      <c r="AF6" s="84"/>
      <c r="AG6" s="355" t="str">
        <f t="shared" ref="AG6:AG69" si="13">IF(AC6&gt;$V$26,"-",IF($AE$4=0,IPMT($E$14/1200,AC5,$E$12,-$N$2),IPMT($E$14/1200,AC6,$E$12,-$N$2)))</f>
        <v>-</v>
      </c>
      <c r="AH6" s="356"/>
      <c r="AI6" s="357" t="str">
        <f>IF(AC6&gt;$V$26,"-",AG6+AE6)</f>
        <v>-</v>
      </c>
      <c r="AJ6" s="358"/>
      <c r="AK6" s="85">
        <f t="shared" ca="1" si="1"/>
        <v>46265</v>
      </c>
      <c r="AL6" s="353">
        <v>3</v>
      </c>
      <c r="AM6" s="354"/>
      <c r="AN6" s="86" t="e">
        <f t="shared" si="2"/>
        <v>#DIV/0!</v>
      </c>
      <c r="AO6" s="87"/>
      <c r="AP6" s="359" t="e">
        <f t="shared" ca="1" si="3"/>
        <v>#DIV/0!</v>
      </c>
      <c r="AQ6" s="360"/>
      <c r="AR6" s="361" t="e">
        <f t="shared" ca="1" si="4"/>
        <v>#DIV/0!</v>
      </c>
      <c r="AS6" s="362"/>
      <c r="AT6" s="87" t="e">
        <f t="shared" ref="AT6:AT69" ca="1" si="14">AT5-AN5</f>
        <v>#DIV/0!</v>
      </c>
      <c r="AU6" s="75" t="str">
        <f t="shared" si="5"/>
        <v>-</v>
      </c>
      <c r="AZ6" s="284">
        <v>5.0000000000000001E-4</v>
      </c>
      <c r="BB6" s="213"/>
      <c r="BC6" s="217"/>
      <c r="BG6" s="246">
        <f ca="1">DATE(YEAR(BG5),MONTH(BG5)+2,DAY(1)-1)</f>
        <v>46265</v>
      </c>
      <c r="BH6" s="287" t="e">
        <f t="shared" ref="BH6:BH13" si="15">IF($E$12&gt;=BH5,BH5+1,"")</f>
        <v>#VALUE!</v>
      </c>
      <c r="BI6" s="288"/>
      <c r="BJ6" s="247" t="e">
        <f>IF($BJ$4=0,BS5,BS6)</f>
        <v>#VALUE!</v>
      </c>
      <c r="BK6" s="248"/>
      <c r="BL6" s="251" t="e">
        <f>IF($AE$4=0,BR5,BR6)</f>
        <v>#VALUE!</v>
      </c>
      <c r="BM6" s="248"/>
      <c r="BN6" s="249" t="e">
        <f>BL6+BJ6</f>
        <v>#VALUE!</v>
      </c>
      <c r="BO6" s="250"/>
      <c r="BQ6" s="53" t="e">
        <f t="shared" si="6"/>
        <v>#VALUE!</v>
      </c>
      <c r="BR6" s="233" t="e">
        <f t="shared" si="7"/>
        <v>#VALUE!</v>
      </c>
      <c r="BS6" s="245" t="e">
        <f t="shared" si="8"/>
        <v>#VALUE!</v>
      </c>
      <c r="BT6" s="245" t="e">
        <f t="shared" si="9"/>
        <v>#DIV/0!</v>
      </c>
      <c r="BU6" s="280" t="e">
        <f t="shared" si="10"/>
        <v>#VALUE!</v>
      </c>
    </row>
    <row r="7" spans="1:73" ht="18.600000000000001" customHeight="1" thickBot="1" x14ac:dyDescent="0.4">
      <c r="A7" s="48"/>
      <c r="B7" s="174"/>
      <c r="C7" s="174"/>
      <c r="D7" s="174"/>
      <c r="E7" s="174"/>
      <c r="F7" s="174"/>
      <c r="G7" s="170"/>
      <c r="H7" s="170"/>
      <c r="I7" s="170"/>
      <c r="J7" s="170"/>
      <c r="K7" s="170"/>
      <c r="L7" s="294" t="s">
        <v>537</v>
      </c>
      <c r="M7" s="294"/>
      <c r="N7" s="266" t="s">
        <v>447</v>
      </c>
      <c r="R7" s="70">
        <v>72</v>
      </c>
      <c r="S7" s="62">
        <v>84</v>
      </c>
      <c r="T7" s="90"/>
      <c r="U7" s="90"/>
      <c r="V7" s="90"/>
      <c r="X7" s="71"/>
      <c r="Y7" s="67"/>
      <c r="AA7" s="196" t="str">
        <f t="shared" si="0"/>
        <v>-</v>
      </c>
      <c r="AB7" s="185" t="str">
        <f t="shared" si="11"/>
        <v>-</v>
      </c>
      <c r="AC7" s="353">
        <v>4</v>
      </c>
      <c r="AD7" s="354"/>
      <c r="AE7" s="83" t="str">
        <f t="shared" si="12"/>
        <v>-</v>
      </c>
      <c r="AF7" s="84"/>
      <c r="AG7" s="355" t="str">
        <f t="shared" si="13"/>
        <v>-</v>
      </c>
      <c r="AH7" s="356"/>
      <c r="AI7" s="357" t="str">
        <f t="shared" ref="AI7:AI69" si="16">IF(AC7&gt;$V$26,"-",AG7+AE7)</f>
        <v>-</v>
      </c>
      <c r="AJ7" s="358"/>
      <c r="AK7" s="85">
        <f t="shared" ca="1" si="1"/>
        <v>46295</v>
      </c>
      <c r="AL7" s="353">
        <v>4</v>
      </c>
      <c r="AM7" s="354"/>
      <c r="AN7" s="86" t="e">
        <f t="shared" si="2"/>
        <v>#DIV/0!</v>
      </c>
      <c r="AO7" s="87"/>
      <c r="AP7" s="359" t="e">
        <f t="shared" ca="1" si="3"/>
        <v>#DIV/0!</v>
      </c>
      <c r="AQ7" s="360"/>
      <c r="AR7" s="361" t="e">
        <f t="shared" ca="1" si="4"/>
        <v>#DIV/0!</v>
      </c>
      <c r="AS7" s="362"/>
      <c r="AT7" s="87" t="e">
        <f t="shared" ca="1" si="14"/>
        <v>#DIV/0!</v>
      </c>
      <c r="AU7" s="75" t="str">
        <f t="shared" si="5"/>
        <v>-</v>
      </c>
      <c r="AZ7" s="284">
        <v>5.9999999999999995E-4</v>
      </c>
      <c r="BB7" s="218"/>
      <c r="BC7" s="219"/>
      <c r="BG7" s="246">
        <f t="shared" ref="BG7:BG70" ca="1" si="17">DATE(YEAR(BG6),MONTH(BG6)+2,DAY(1)-1)</f>
        <v>46295</v>
      </c>
      <c r="BH7" s="287" t="e">
        <f t="shared" si="15"/>
        <v>#VALUE!</v>
      </c>
      <c r="BI7" s="288"/>
      <c r="BJ7" s="247" t="e">
        <f t="shared" ref="BJ7:BJ11" si="18">IF($BJ$4=0,BS6,BS7)</f>
        <v>#VALUE!</v>
      </c>
      <c r="BK7" s="248"/>
      <c r="BL7" s="251" t="e">
        <f t="shared" ref="BL7:BL11" si="19">IF($AE$4=0,BR6,BR7)</f>
        <v>#VALUE!</v>
      </c>
      <c r="BM7" s="248"/>
      <c r="BN7" s="249" t="e">
        <f t="shared" ref="BN7:BN68" si="20">BL7+BJ7</f>
        <v>#VALUE!</v>
      </c>
      <c r="BO7" s="250"/>
      <c r="BQ7" s="53" t="e">
        <f t="shared" si="6"/>
        <v>#VALUE!</v>
      </c>
      <c r="BR7" s="233" t="e">
        <f t="shared" si="7"/>
        <v>#VALUE!</v>
      </c>
      <c r="BS7" s="245" t="e">
        <f t="shared" si="8"/>
        <v>#VALUE!</v>
      </c>
      <c r="BT7" s="245" t="e">
        <f t="shared" si="9"/>
        <v>#DIV/0!</v>
      </c>
      <c r="BU7" s="280" t="e">
        <f t="shared" si="10"/>
        <v>#VALUE!</v>
      </c>
    </row>
    <row r="8" spans="1:73" ht="34.200000000000003" customHeight="1" thickBot="1" x14ac:dyDescent="0.4">
      <c r="A8" s="48"/>
      <c r="B8" s="297" t="s">
        <v>482</v>
      </c>
      <c r="C8" s="298"/>
      <c r="D8" s="299"/>
      <c r="E8" s="175" t="s">
        <v>490</v>
      </c>
      <c r="F8" s="177"/>
      <c r="G8" s="170"/>
      <c r="H8" s="170"/>
      <c r="I8" s="170"/>
      <c r="J8" s="171"/>
      <c r="K8" s="172"/>
      <c r="L8" s="283" t="s">
        <v>491</v>
      </c>
      <c r="M8" s="285">
        <v>6.7900000000000002E-2</v>
      </c>
      <c r="N8" s="176">
        <f>R38</f>
        <v>0</v>
      </c>
      <c r="R8" s="91">
        <v>84</v>
      </c>
      <c r="AA8" s="196" t="str">
        <f t="shared" si="0"/>
        <v>-</v>
      </c>
      <c r="AB8" s="185" t="str">
        <f t="shared" si="11"/>
        <v>-</v>
      </c>
      <c r="AC8" s="353">
        <v>5</v>
      </c>
      <c r="AD8" s="354"/>
      <c r="AE8" s="83" t="str">
        <f t="shared" si="12"/>
        <v>-</v>
      </c>
      <c r="AF8" s="84"/>
      <c r="AG8" s="355" t="str">
        <f t="shared" si="13"/>
        <v>-</v>
      </c>
      <c r="AH8" s="356"/>
      <c r="AI8" s="357" t="str">
        <f t="shared" si="16"/>
        <v>-</v>
      </c>
      <c r="AJ8" s="358"/>
      <c r="AK8" s="85">
        <f t="shared" ca="1" si="1"/>
        <v>46326</v>
      </c>
      <c r="AL8" s="353">
        <v>5</v>
      </c>
      <c r="AM8" s="354"/>
      <c r="AN8" s="86" t="e">
        <f t="shared" si="2"/>
        <v>#DIV/0!</v>
      </c>
      <c r="AO8" s="87"/>
      <c r="AP8" s="359" t="e">
        <f t="shared" ca="1" si="3"/>
        <v>#DIV/0!</v>
      </c>
      <c r="AQ8" s="360"/>
      <c r="AR8" s="361" t="e">
        <f t="shared" ca="1" si="4"/>
        <v>#DIV/0!</v>
      </c>
      <c r="AS8" s="362"/>
      <c r="AT8" s="87" t="e">
        <f t="shared" ca="1" si="14"/>
        <v>#DIV/0!</v>
      </c>
      <c r="AU8" s="75" t="str">
        <f t="shared" si="5"/>
        <v>-</v>
      </c>
      <c r="AZ8" s="284">
        <v>6.9999999999999999E-4</v>
      </c>
      <c r="BB8" s="42"/>
      <c r="BC8" s="220"/>
      <c r="BG8" s="246">
        <f t="shared" ca="1" si="17"/>
        <v>46326</v>
      </c>
      <c r="BH8" s="287" t="e">
        <f t="shared" si="15"/>
        <v>#VALUE!</v>
      </c>
      <c r="BI8" s="288"/>
      <c r="BJ8" s="247" t="e">
        <f t="shared" si="18"/>
        <v>#VALUE!</v>
      </c>
      <c r="BK8" s="248"/>
      <c r="BL8" s="251" t="e">
        <f t="shared" si="19"/>
        <v>#VALUE!</v>
      </c>
      <c r="BM8" s="248"/>
      <c r="BN8" s="249" t="e">
        <f t="shared" si="20"/>
        <v>#VALUE!</v>
      </c>
      <c r="BO8" s="250"/>
      <c r="BQ8" s="53" t="e">
        <f t="shared" si="6"/>
        <v>#VALUE!</v>
      </c>
      <c r="BR8" s="233" t="e">
        <f t="shared" si="7"/>
        <v>#VALUE!</v>
      </c>
      <c r="BS8" s="245" t="e">
        <f t="shared" si="8"/>
        <v>#VALUE!</v>
      </c>
      <c r="BT8" s="245" t="e">
        <f t="shared" si="9"/>
        <v>#DIV/0!</v>
      </c>
      <c r="BU8" s="280" t="e">
        <f t="shared" si="10"/>
        <v>#VALUE!</v>
      </c>
    </row>
    <row r="9" spans="1:73" ht="18.600000000000001" thickBot="1" x14ac:dyDescent="0.4">
      <c r="A9" s="48"/>
      <c r="B9" s="300"/>
      <c r="C9" s="301"/>
      <c r="D9" s="302"/>
      <c r="E9" s="295" t="s">
        <v>483</v>
      </c>
      <c r="F9" s="296"/>
      <c r="G9" s="174"/>
      <c r="H9" s="174"/>
      <c r="I9" s="174"/>
      <c r="J9" s="174"/>
      <c r="K9" s="174"/>
      <c r="L9" s="294" t="s">
        <v>505</v>
      </c>
      <c r="M9" s="294"/>
      <c r="N9" s="266" t="s">
        <v>447</v>
      </c>
      <c r="O9" s="62"/>
      <c r="Q9" s="62" t="s">
        <v>158</v>
      </c>
      <c r="R9" s="62" t="e">
        <f>R16/E4</f>
        <v>#DIV/0!</v>
      </c>
      <c r="AA9" s="196" t="str">
        <f t="shared" si="0"/>
        <v>-</v>
      </c>
      <c r="AB9" s="185" t="str">
        <f t="shared" si="11"/>
        <v>-</v>
      </c>
      <c r="AC9" s="353">
        <v>6</v>
      </c>
      <c r="AD9" s="354"/>
      <c r="AE9" s="83" t="str">
        <f t="shared" si="12"/>
        <v>-</v>
      </c>
      <c r="AF9" s="84"/>
      <c r="AG9" s="355" t="str">
        <f t="shared" si="13"/>
        <v>-</v>
      </c>
      <c r="AH9" s="356"/>
      <c r="AI9" s="357" t="str">
        <f t="shared" si="16"/>
        <v>-</v>
      </c>
      <c r="AJ9" s="358"/>
      <c r="AK9" s="85">
        <f t="shared" ca="1" si="1"/>
        <v>46356</v>
      </c>
      <c r="AL9" s="353">
        <v>6</v>
      </c>
      <c r="AM9" s="354"/>
      <c r="AN9" s="86" t="e">
        <f t="shared" si="2"/>
        <v>#DIV/0!</v>
      </c>
      <c r="AO9" s="87"/>
      <c r="AP9" s="359" t="e">
        <f t="shared" ca="1" si="3"/>
        <v>#DIV/0!</v>
      </c>
      <c r="AQ9" s="360"/>
      <c r="AR9" s="361" t="e">
        <f t="shared" ca="1" si="4"/>
        <v>#DIV/0!</v>
      </c>
      <c r="AS9" s="362"/>
      <c r="AT9" s="87" t="e">
        <f t="shared" ca="1" si="14"/>
        <v>#DIV/0!</v>
      </c>
      <c r="AU9" s="75" t="str">
        <f t="shared" si="5"/>
        <v>-</v>
      </c>
      <c r="AZ9" s="284">
        <v>8.0000000000000004E-4</v>
      </c>
      <c r="BB9" s="221"/>
      <c r="BC9" s="222"/>
      <c r="BG9" s="246">
        <f t="shared" ca="1" si="17"/>
        <v>46356</v>
      </c>
      <c r="BH9" s="287" t="e">
        <f t="shared" si="15"/>
        <v>#VALUE!</v>
      </c>
      <c r="BI9" s="288"/>
      <c r="BJ9" s="247" t="e">
        <f t="shared" si="18"/>
        <v>#VALUE!</v>
      </c>
      <c r="BK9" s="248"/>
      <c r="BL9" s="251" t="e">
        <f t="shared" si="19"/>
        <v>#VALUE!</v>
      </c>
      <c r="BM9" s="248"/>
      <c r="BN9" s="249" t="e">
        <f t="shared" si="20"/>
        <v>#VALUE!</v>
      </c>
      <c r="BO9" s="250"/>
      <c r="BQ9" s="53" t="e">
        <f t="shared" si="6"/>
        <v>#VALUE!</v>
      </c>
      <c r="BR9" s="233" t="e">
        <f t="shared" si="7"/>
        <v>#VALUE!</v>
      </c>
      <c r="BS9" s="245" t="e">
        <f t="shared" si="8"/>
        <v>#VALUE!</v>
      </c>
      <c r="BT9" s="245" t="e">
        <f t="shared" si="9"/>
        <v>#DIV/0!</v>
      </c>
      <c r="BU9" s="280" t="e">
        <f t="shared" si="10"/>
        <v>#VALUE!</v>
      </c>
    </row>
    <row r="10" spans="1:73" ht="22.2" customHeight="1" thickBot="1" x14ac:dyDescent="0.4">
      <c r="A10" s="48"/>
      <c r="B10" s="303"/>
      <c r="C10" s="304"/>
      <c r="D10" s="305"/>
      <c r="E10" s="175" t="s">
        <v>330</v>
      </c>
      <c r="F10" s="177"/>
      <c r="G10" s="170"/>
      <c r="H10" s="174"/>
      <c r="I10" s="174"/>
      <c r="J10" s="174"/>
      <c r="K10" s="174"/>
      <c r="L10" s="307" t="s">
        <v>492</v>
      </c>
      <c r="M10" s="308"/>
      <c r="N10" s="311">
        <f>Z3</f>
        <v>0</v>
      </c>
      <c r="O10" s="62"/>
      <c r="AA10" s="196" t="str">
        <f t="shared" si="0"/>
        <v>-</v>
      </c>
      <c r="AB10" s="185" t="str">
        <f t="shared" si="11"/>
        <v>-</v>
      </c>
      <c r="AC10" s="353">
        <v>7</v>
      </c>
      <c r="AD10" s="354"/>
      <c r="AE10" s="83" t="str">
        <f t="shared" si="12"/>
        <v>-</v>
      </c>
      <c r="AF10" s="84"/>
      <c r="AG10" s="355" t="str">
        <f t="shared" si="13"/>
        <v>-</v>
      </c>
      <c r="AH10" s="356"/>
      <c r="AI10" s="357" t="str">
        <f t="shared" si="16"/>
        <v>-</v>
      </c>
      <c r="AJ10" s="358"/>
      <c r="AK10" s="85">
        <f t="shared" ca="1" si="1"/>
        <v>46387</v>
      </c>
      <c r="AL10" s="353">
        <v>7</v>
      </c>
      <c r="AM10" s="354"/>
      <c r="AN10" s="86" t="e">
        <f t="shared" si="2"/>
        <v>#DIV/0!</v>
      </c>
      <c r="AO10" s="87"/>
      <c r="AP10" s="359" t="e">
        <f t="shared" ca="1" si="3"/>
        <v>#DIV/0!</v>
      </c>
      <c r="AQ10" s="360"/>
      <c r="AR10" s="361" t="e">
        <f t="shared" ca="1" si="4"/>
        <v>#DIV/0!</v>
      </c>
      <c r="AS10" s="362"/>
      <c r="AT10" s="87" t="e">
        <f t="shared" ca="1" si="14"/>
        <v>#DIV/0!</v>
      </c>
      <c r="AU10" s="75" t="str">
        <f t="shared" si="5"/>
        <v>-</v>
      </c>
      <c r="AZ10" s="284">
        <v>8.9999999999999998E-4</v>
      </c>
      <c r="BB10" s="223"/>
      <c r="BC10" s="224"/>
      <c r="BG10" s="246">
        <f t="shared" ca="1" si="17"/>
        <v>46387</v>
      </c>
      <c r="BH10" s="287" t="e">
        <f t="shared" si="15"/>
        <v>#VALUE!</v>
      </c>
      <c r="BI10" s="288"/>
      <c r="BJ10" s="247" t="e">
        <f t="shared" si="18"/>
        <v>#VALUE!</v>
      </c>
      <c r="BK10" s="248"/>
      <c r="BL10" s="251" t="e">
        <f t="shared" si="19"/>
        <v>#VALUE!</v>
      </c>
      <c r="BM10" s="248"/>
      <c r="BN10" s="249" t="e">
        <f t="shared" si="20"/>
        <v>#VALUE!</v>
      </c>
      <c r="BO10" s="250"/>
      <c r="BQ10" s="53" t="e">
        <f t="shared" si="6"/>
        <v>#VALUE!</v>
      </c>
      <c r="BR10" s="233" t="e">
        <f t="shared" si="7"/>
        <v>#VALUE!</v>
      </c>
      <c r="BS10" s="245" t="e">
        <f t="shared" si="8"/>
        <v>#VALUE!</v>
      </c>
      <c r="BT10" s="245" t="e">
        <f t="shared" si="9"/>
        <v>#DIV/0!</v>
      </c>
      <c r="BU10" s="280" t="e">
        <f t="shared" si="10"/>
        <v>#VALUE!</v>
      </c>
    </row>
    <row r="11" spans="1:73" ht="9" customHeight="1" thickBot="1" x14ac:dyDescent="0.4">
      <c r="A11" s="48"/>
      <c r="B11" s="173"/>
      <c r="C11" s="173"/>
      <c r="D11" s="173"/>
      <c r="E11" s="170"/>
      <c r="F11" s="170"/>
      <c r="G11" s="170"/>
      <c r="H11" s="174"/>
      <c r="I11" s="174"/>
      <c r="J11" s="174"/>
      <c r="K11" s="174"/>
      <c r="L11" s="309"/>
      <c r="M11" s="310"/>
      <c r="N11" s="312"/>
      <c r="O11" s="62"/>
      <c r="R11" s="92" t="s">
        <v>428</v>
      </c>
      <c r="S11" s="93"/>
      <c r="AA11" s="196" t="str">
        <f t="shared" si="0"/>
        <v>-</v>
      </c>
      <c r="AB11" s="185" t="str">
        <f t="shared" si="11"/>
        <v>-</v>
      </c>
      <c r="AC11" s="353">
        <v>8</v>
      </c>
      <c r="AD11" s="354"/>
      <c r="AE11" s="83" t="str">
        <f t="shared" si="12"/>
        <v>-</v>
      </c>
      <c r="AF11" s="84"/>
      <c r="AG11" s="355" t="str">
        <f t="shared" si="13"/>
        <v>-</v>
      </c>
      <c r="AH11" s="356"/>
      <c r="AI11" s="357" t="str">
        <f t="shared" si="16"/>
        <v>-</v>
      </c>
      <c r="AJ11" s="358"/>
      <c r="AK11" s="85">
        <f t="shared" ca="1" si="1"/>
        <v>46418</v>
      </c>
      <c r="AL11" s="353">
        <v>8</v>
      </c>
      <c r="AM11" s="354"/>
      <c r="AN11" s="86" t="e">
        <f t="shared" si="2"/>
        <v>#DIV/0!</v>
      </c>
      <c r="AO11" s="87"/>
      <c r="AP11" s="359" t="e">
        <f t="shared" ca="1" si="3"/>
        <v>#DIV/0!</v>
      </c>
      <c r="AQ11" s="360"/>
      <c r="AR11" s="361" t="e">
        <f t="shared" ca="1" si="4"/>
        <v>#DIV/0!</v>
      </c>
      <c r="AS11" s="362"/>
      <c r="AT11" s="87" t="e">
        <f t="shared" ca="1" si="14"/>
        <v>#DIV/0!</v>
      </c>
      <c r="AU11" s="75" t="str">
        <f t="shared" si="5"/>
        <v>-</v>
      </c>
      <c r="AZ11" s="284">
        <v>1E-3</v>
      </c>
      <c r="BB11" s="225"/>
      <c r="BC11" s="226"/>
      <c r="BG11" s="246">
        <f t="shared" ca="1" si="17"/>
        <v>46418</v>
      </c>
      <c r="BH11" s="287" t="e">
        <f t="shared" si="15"/>
        <v>#VALUE!</v>
      </c>
      <c r="BI11" s="288"/>
      <c r="BJ11" s="247" t="e">
        <f t="shared" si="18"/>
        <v>#VALUE!</v>
      </c>
      <c r="BK11" s="248"/>
      <c r="BL11" s="251" t="e">
        <f t="shared" si="19"/>
        <v>#VALUE!</v>
      </c>
      <c r="BM11" s="248"/>
      <c r="BN11" s="249" t="e">
        <f t="shared" si="20"/>
        <v>#VALUE!</v>
      </c>
      <c r="BO11" s="250"/>
      <c r="BQ11" s="53" t="e">
        <f t="shared" si="6"/>
        <v>#VALUE!</v>
      </c>
      <c r="BR11" s="233" t="e">
        <f>IF(BH11&lt;=$BC$23,($BC$20/12)*BT10,($BC$21/12)*BT10)</f>
        <v>#VALUE!</v>
      </c>
      <c r="BS11" s="245" t="e">
        <f t="shared" si="8"/>
        <v>#VALUE!</v>
      </c>
      <c r="BT11" s="245" t="e">
        <f t="shared" si="9"/>
        <v>#DIV/0!</v>
      </c>
      <c r="BU11" s="280" t="e">
        <f t="shared" si="10"/>
        <v>#VALUE!</v>
      </c>
    </row>
    <row r="12" spans="1:73" ht="18" thickBot="1" x14ac:dyDescent="0.4">
      <c r="A12" s="48"/>
      <c r="B12" s="323" t="s">
        <v>425</v>
      </c>
      <c r="C12" s="324"/>
      <c r="D12" s="324"/>
      <c r="E12" s="350"/>
      <c r="F12" s="351"/>
      <c r="G12" s="173"/>
      <c r="H12" s="173"/>
      <c r="I12" s="173"/>
      <c r="J12" s="173"/>
      <c r="K12" s="173"/>
      <c r="L12" s="173"/>
      <c r="M12" s="173"/>
      <c r="N12" s="173"/>
      <c r="O12" s="62"/>
      <c r="Q12" s="94"/>
      <c r="R12" s="95">
        <v>0</v>
      </c>
      <c r="S12" s="94"/>
      <c r="T12" s="94"/>
      <c r="U12" s="94"/>
      <c r="AA12" s="196" t="str">
        <f t="shared" si="0"/>
        <v>-</v>
      </c>
      <c r="AB12" s="185" t="str">
        <f t="shared" si="11"/>
        <v>-</v>
      </c>
      <c r="AC12" s="353">
        <v>9</v>
      </c>
      <c r="AD12" s="354"/>
      <c r="AE12" s="83" t="str">
        <f t="shared" si="12"/>
        <v>-</v>
      </c>
      <c r="AF12" s="84"/>
      <c r="AG12" s="355" t="str">
        <f t="shared" si="13"/>
        <v>-</v>
      </c>
      <c r="AH12" s="356"/>
      <c r="AI12" s="357" t="str">
        <f t="shared" si="16"/>
        <v>-</v>
      </c>
      <c r="AJ12" s="358"/>
      <c r="AK12" s="85">
        <f t="shared" ca="1" si="1"/>
        <v>46446</v>
      </c>
      <c r="AL12" s="353">
        <v>9</v>
      </c>
      <c r="AM12" s="354"/>
      <c r="AN12" s="86" t="e">
        <f t="shared" si="2"/>
        <v>#DIV/0!</v>
      </c>
      <c r="AO12" s="87"/>
      <c r="AP12" s="359" t="e">
        <f t="shared" ca="1" si="3"/>
        <v>#DIV/0!</v>
      </c>
      <c r="AQ12" s="360"/>
      <c r="AR12" s="361" t="e">
        <f t="shared" ca="1" si="4"/>
        <v>#DIV/0!</v>
      </c>
      <c r="AS12" s="362"/>
      <c r="AT12" s="87" t="e">
        <f t="shared" ca="1" si="14"/>
        <v>#DIV/0!</v>
      </c>
      <c r="AU12" s="75" t="str">
        <f t="shared" si="5"/>
        <v>-</v>
      </c>
      <c r="AZ12" s="284">
        <v>1.1000000000000001E-3</v>
      </c>
      <c r="BB12" s="225"/>
      <c r="BC12" s="227"/>
      <c r="BG12" s="252">
        <f t="shared" ca="1" si="17"/>
        <v>46446</v>
      </c>
      <c r="BH12" s="287" t="e">
        <f t="shared" si="15"/>
        <v>#VALUE!</v>
      </c>
      <c r="BI12" s="288"/>
      <c r="BJ12" s="247" t="e">
        <f t="shared" ref="BJ12:BJ19" si="21">IF($BJ$4=0,BS11,BS12)</f>
        <v>#VALUE!</v>
      </c>
      <c r="BK12" s="248"/>
      <c r="BL12" s="251" t="e">
        <f t="shared" ref="BL12:BL19" si="22">IF($AE$4=0,BR11,BR12)</f>
        <v>#VALUE!</v>
      </c>
      <c r="BM12" s="248"/>
      <c r="BN12" s="249" t="e">
        <f t="shared" si="20"/>
        <v>#VALUE!</v>
      </c>
      <c r="BO12" s="250"/>
      <c r="BQ12" s="53" t="e">
        <f t="shared" si="6"/>
        <v>#VALUE!</v>
      </c>
      <c r="BR12" s="233" t="e">
        <f t="shared" si="7"/>
        <v>#VALUE!</v>
      </c>
      <c r="BS12" s="245" t="e">
        <f t="shared" si="8"/>
        <v>#VALUE!</v>
      </c>
      <c r="BT12" s="245" t="e">
        <f t="shared" si="9"/>
        <v>#DIV/0!</v>
      </c>
      <c r="BU12" s="280" t="e">
        <f t="shared" si="10"/>
        <v>#VALUE!</v>
      </c>
    </row>
    <row r="13" spans="1:73" ht="10.95" customHeight="1" thickBot="1" x14ac:dyDescent="0.4">
      <c r="A13" s="48"/>
      <c r="B13" s="173"/>
      <c r="C13" s="173"/>
      <c r="D13" s="173"/>
      <c r="E13" s="170"/>
      <c r="F13" s="170"/>
      <c r="G13" s="170"/>
      <c r="H13" s="170"/>
      <c r="I13" s="170"/>
      <c r="J13" s="170"/>
      <c r="K13" s="170"/>
      <c r="L13" s="315" t="s">
        <v>493</v>
      </c>
      <c r="M13" s="316"/>
      <c r="N13" s="311" t="b">
        <f>IF(N24="Так",BL89,AG88)</f>
        <v>0</v>
      </c>
      <c r="O13" s="148" t="e">
        <f>N18-N21</f>
        <v>#DIV/0!</v>
      </c>
      <c r="Q13" s="96"/>
      <c r="R13" s="97">
        <f>IF(R12=0,0%,5.99%)</f>
        <v>0</v>
      </c>
      <c r="S13" s="96"/>
      <c r="T13" s="96"/>
      <c r="U13" s="96"/>
      <c r="AA13" s="196" t="str">
        <f t="shared" si="0"/>
        <v>-</v>
      </c>
      <c r="AB13" s="185" t="str">
        <f t="shared" si="11"/>
        <v>-</v>
      </c>
      <c r="AC13" s="353">
        <v>10</v>
      </c>
      <c r="AD13" s="354"/>
      <c r="AE13" s="83" t="str">
        <f t="shared" si="12"/>
        <v>-</v>
      </c>
      <c r="AF13" s="84"/>
      <c r="AG13" s="355" t="str">
        <f t="shared" si="13"/>
        <v>-</v>
      </c>
      <c r="AH13" s="356"/>
      <c r="AI13" s="357" t="str">
        <f t="shared" si="16"/>
        <v>-</v>
      </c>
      <c r="AJ13" s="358"/>
      <c r="AK13" s="85">
        <f t="shared" ca="1" si="1"/>
        <v>46477</v>
      </c>
      <c r="AL13" s="353">
        <v>10</v>
      </c>
      <c r="AM13" s="354"/>
      <c r="AN13" s="86" t="e">
        <f t="shared" si="2"/>
        <v>#DIV/0!</v>
      </c>
      <c r="AO13" s="87"/>
      <c r="AP13" s="359" t="e">
        <f t="shared" ca="1" si="3"/>
        <v>#DIV/0!</v>
      </c>
      <c r="AQ13" s="360"/>
      <c r="AR13" s="361" t="e">
        <f t="shared" ca="1" si="4"/>
        <v>#DIV/0!</v>
      </c>
      <c r="AS13" s="362"/>
      <c r="AT13" s="87" t="e">
        <f t="shared" ca="1" si="14"/>
        <v>#DIV/0!</v>
      </c>
      <c r="AU13" s="75" t="str">
        <f t="shared" si="5"/>
        <v>-</v>
      </c>
      <c r="AZ13" s="284">
        <v>1.1999999999999999E-3</v>
      </c>
      <c r="BB13" s="228"/>
      <c r="BC13" s="229"/>
      <c r="BG13" s="252">
        <f t="shared" ca="1" si="17"/>
        <v>46477</v>
      </c>
      <c r="BH13" s="287" t="e">
        <f t="shared" si="15"/>
        <v>#VALUE!</v>
      </c>
      <c r="BI13" s="288"/>
      <c r="BJ13" s="247" t="e">
        <f t="shared" si="21"/>
        <v>#VALUE!</v>
      </c>
      <c r="BK13" s="248"/>
      <c r="BL13" s="251" t="e">
        <f t="shared" si="22"/>
        <v>#VALUE!</v>
      </c>
      <c r="BM13" s="248"/>
      <c r="BN13" s="249" t="e">
        <f t="shared" si="20"/>
        <v>#VALUE!</v>
      </c>
      <c r="BO13" s="250"/>
      <c r="BQ13" s="53" t="e">
        <f t="shared" si="6"/>
        <v>#VALUE!</v>
      </c>
      <c r="BR13" s="233" t="e">
        <f t="shared" si="7"/>
        <v>#VALUE!</v>
      </c>
      <c r="BS13" s="245" t="e">
        <f t="shared" si="8"/>
        <v>#VALUE!</v>
      </c>
      <c r="BT13" s="245" t="e">
        <f t="shared" si="9"/>
        <v>#DIV/0!</v>
      </c>
      <c r="BU13" s="280" t="e">
        <f t="shared" si="10"/>
        <v>#VALUE!</v>
      </c>
    </row>
    <row r="14" spans="1:73" ht="19.5" customHeight="1" thickBot="1" x14ac:dyDescent="0.4">
      <c r="A14" s="48"/>
      <c r="B14" s="323" t="s">
        <v>423</v>
      </c>
      <c r="C14" s="324"/>
      <c r="D14" s="337"/>
      <c r="E14" s="338" t="str">
        <f>IF(R33=0,"",R33)</f>
        <v/>
      </c>
      <c r="F14" s="339"/>
      <c r="G14" s="170"/>
      <c r="H14" s="170"/>
      <c r="I14" s="170"/>
      <c r="J14" s="170"/>
      <c r="K14" s="170"/>
      <c r="L14" s="317"/>
      <c r="M14" s="318"/>
      <c r="N14" s="312"/>
      <c r="O14" s="98"/>
      <c r="R14" s="62" t="s">
        <v>313</v>
      </c>
      <c r="X14" s="99" t="s">
        <v>432</v>
      </c>
      <c r="AA14" s="196" t="str">
        <f t="shared" si="0"/>
        <v>-</v>
      </c>
      <c r="AB14" s="185" t="str">
        <f t="shared" si="11"/>
        <v>-</v>
      </c>
      <c r="AC14" s="353">
        <v>11</v>
      </c>
      <c r="AD14" s="354"/>
      <c r="AE14" s="83" t="str">
        <f t="shared" si="12"/>
        <v>-</v>
      </c>
      <c r="AF14" s="84"/>
      <c r="AG14" s="355" t="str">
        <f t="shared" si="13"/>
        <v>-</v>
      </c>
      <c r="AH14" s="356"/>
      <c r="AI14" s="357" t="str">
        <f t="shared" si="16"/>
        <v>-</v>
      </c>
      <c r="AJ14" s="358"/>
      <c r="AK14" s="85">
        <f t="shared" ca="1" si="1"/>
        <v>46507</v>
      </c>
      <c r="AL14" s="353">
        <v>11</v>
      </c>
      <c r="AM14" s="354"/>
      <c r="AN14" s="86" t="e">
        <f t="shared" si="2"/>
        <v>#DIV/0!</v>
      </c>
      <c r="AO14" s="87"/>
      <c r="AP14" s="359" t="e">
        <f t="shared" ca="1" si="3"/>
        <v>#DIV/0!</v>
      </c>
      <c r="AQ14" s="360"/>
      <c r="AR14" s="361" t="e">
        <f t="shared" ca="1" si="4"/>
        <v>#DIV/0!</v>
      </c>
      <c r="AS14" s="362"/>
      <c r="AT14" s="87" t="e">
        <f t="shared" ca="1" si="14"/>
        <v>#DIV/0!</v>
      </c>
      <c r="AU14" s="75" t="str">
        <f t="shared" si="5"/>
        <v>-</v>
      </c>
      <c r="AZ14" s="284">
        <v>1.2999999999999999E-3</v>
      </c>
      <c r="BG14" s="252">
        <f t="shared" ca="1" si="17"/>
        <v>46507</v>
      </c>
      <c r="BH14" s="287" t="e">
        <f t="shared" ref="BH14:BH16" si="23">IF($E$12&gt;=BH13,BH13+1,"")</f>
        <v>#VALUE!</v>
      </c>
      <c r="BI14" s="288"/>
      <c r="BJ14" s="247" t="e">
        <f t="shared" si="21"/>
        <v>#VALUE!</v>
      </c>
      <c r="BK14" s="248"/>
      <c r="BL14" s="251" t="e">
        <f t="shared" si="22"/>
        <v>#VALUE!</v>
      </c>
      <c r="BM14" s="248"/>
      <c r="BN14" s="249" t="e">
        <f t="shared" si="20"/>
        <v>#VALUE!</v>
      </c>
      <c r="BO14" s="250"/>
      <c r="BQ14" s="53" t="e">
        <f t="shared" si="6"/>
        <v>#VALUE!</v>
      </c>
      <c r="BR14" s="233" t="e">
        <f t="shared" si="7"/>
        <v>#VALUE!</v>
      </c>
      <c r="BS14" s="245" t="e">
        <f t="shared" si="8"/>
        <v>#VALUE!</v>
      </c>
      <c r="BT14" s="245" t="e">
        <f t="shared" si="9"/>
        <v>#DIV/0!</v>
      </c>
      <c r="BU14" s="280" t="e">
        <f t="shared" si="10"/>
        <v>#VALUE!</v>
      </c>
    </row>
    <row r="15" spans="1:73" ht="18.600000000000001" customHeight="1" thickBot="1" x14ac:dyDescent="0.4">
      <c r="A15" s="48"/>
      <c r="B15" s="173"/>
      <c r="C15" s="173"/>
      <c r="D15" s="173"/>
      <c r="E15" s="170"/>
      <c r="F15" s="170"/>
      <c r="G15" s="170"/>
      <c r="H15" s="170"/>
      <c r="I15" s="170"/>
      <c r="J15" s="171"/>
      <c r="K15" s="172"/>
      <c r="L15" s="173"/>
      <c r="M15" s="173"/>
      <c r="O15" s="62"/>
      <c r="Q15" s="62" t="s">
        <v>435</v>
      </c>
      <c r="R15" s="100">
        <f>$E$4-IF($X$4=1,$F$8,IF($X$4=2,$E$4/100*$F$10,0))+$N$8</f>
        <v>0</v>
      </c>
      <c r="S15" s="62" t="s">
        <v>507</v>
      </c>
      <c r="X15" s="101" t="s">
        <v>398</v>
      </c>
      <c r="AA15" s="196" t="str">
        <f>IFERROR(AI15+Z16,"-")</f>
        <v>-</v>
      </c>
      <c r="AB15" s="185" t="str">
        <f t="shared" si="11"/>
        <v>-</v>
      </c>
      <c r="AC15" s="353">
        <v>12</v>
      </c>
      <c r="AD15" s="354"/>
      <c r="AE15" s="83" t="str">
        <f t="shared" si="12"/>
        <v>-</v>
      </c>
      <c r="AF15" s="84"/>
      <c r="AG15" s="355" t="str">
        <f t="shared" si="13"/>
        <v>-</v>
      </c>
      <c r="AH15" s="356"/>
      <c r="AI15" s="357" t="str">
        <f t="shared" si="16"/>
        <v>-</v>
      </c>
      <c r="AJ15" s="358"/>
      <c r="AK15" s="85">
        <f t="shared" ca="1" si="1"/>
        <v>46538</v>
      </c>
      <c r="AL15" s="353">
        <v>12</v>
      </c>
      <c r="AM15" s="354"/>
      <c r="AN15" s="86" t="e">
        <f t="shared" si="2"/>
        <v>#DIV/0!</v>
      </c>
      <c r="AO15" s="87"/>
      <c r="AP15" s="359" t="e">
        <f t="shared" ca="1" si="3"/>
        <v>#DIV/0!</v>
      </c>
      <c r="AQ15" s="360"/>
      <c r="AR15" s="361" t="e">
        <f t="shared" ca="1" si="4"/>
        <v>#DIV/0!</v>
      </c>
      <c r="AS15" s="362"/>
      <c r="AT15" s="87" t="e">
        <f t="shared" ca="1" si="14"/>
        <v>#DIV/0!</v>
      </c>
      <c r="AU15" s="75" t="str">
        <f t="shared" si="5"/>
        <v>-</v>
      </c>
      <c r="AZ15" s="284">
        <v>1.4E-3</v>
      </c>
      <c r="BG15" s="252">
        <f t="shared" ca="1" si="17"/>
        <v>46538</v>
      </c>
      <c r="BH15" s="287" t="e">
        <f t="shared" si="23"/>
        <v>#VALUE!</v>
      </c>
      <c r="BI15" s="288"/>
      <c r="BJ15" s="247" t="e">
        <f t="shared" si="21"/>
        <v>#VALUE!</v>
      </c>
      <c r="BK15" s="248"/>
      <c r="BL15" s="251" t="e">
        <f t="shared" si="22"/>
        <v>#VALUE!</v>
      </c>
      <c r="BM15" s="248"/>
      <c r="BN15" s="249" t="e">
        <f t="shared" si="20"/>
        <v>#VALUE!</v>
      </c>
      <c r="BO15" s="250"/>
      <c r="BQ15" s="53" t="e">
        <f t="shared" si="6"/>
        <v>#VALUE!</v>
      </c>
      <c r="BR15" s="233" t="e">
        <f t="shared" si="7"/>
        <v>#VALUE!</v>
      </c>
      <c r="BS15" s="245" t="e">
        <f t="shared" si="8"/>
        <v>#VALUE!</v>
      </c>
      <c r="BT15" s="253" t="e">
        <f t="shared" si="9"/>
        <v>#DIV/0!</v>
      </c>
      <c r="BU15" s="41" t="str">
        <f>IFERROR(BN15+Z16,"-")</f>
        <v>-</v>
      </c>
    </row>
    <row r="16" spans="1:73" ht="36" customHeight="1" thickBot="1" x14ac:dyDescent="0.4">
      <c r="A16" s="42"/>
      <c r="B16" s="327" t="s">
        <v>484</v>
      </c>
      <c r="C16" s="328"/>
      <c r="D16" s="329"/>
      <c r="E16" s="333" t="e">
        <f>R35</f>
        <v>#VALUE!</v>
      </c>
      <c r="F16" s="334"/>
      <c r="G16" s="170"/>
      <c r="H16" s="170"/>
      <c r="I16" s="170"/>
      <c r="J16" s="170"/>
      <c r="K16" s="170"/>
      <c r="L16" s="323" t="s">
        <v>494</v>
      </c>
      <c r="M16" s="324"/>
      <c r="N16" s="176">
        <f>R39</f>
        <v>0</v>
      </c>
      <c r="Q16" s="209" t="s">
        <v>506</v>
      </c>
      <c r="R16" s="102">
        <f>$E$4-IF($X$4=1,$F$8,IF($X$4=2,$E$4/100*$F$10,0))+IF(N7="так",N6,0)+IF(N9="так",N8,0)</f>
        <v>0</v>
      </c>
      <c r="S16" s="210">
        <f>$E$4-IF($X$4=1,$F$8,IF($X$4=2,$E$4/100*$F$10,0))+T16</f>
        <v>0</v>
      </c>
      <c r="T16" s="62">
        <f>IF(N9="так",N8,0)</f>
        <v>0</v>
      </c>
      <c r="Z16" s="116">
        <f>IF($V$26&gt;AC16,$E$4*0.9*$T$33,0)</f>
        <v>0</v>
      </c>
      <c r="AA16" s="196" t="str">
        <f t="shared" si="0"/>
        <v>-</v>
      </c>
      <c r="AB16" s="185" t="str">
        <f t="shared" si="11"/>
        <v>-</v>
      </c>
      <c r="AC16" s="353">
        <v>13</v>
      </c>
      <c r="AD16" s="354"/>
      <c r="AE16" s="83" t="str">
        <f t="shared" si="12"/>
        <v>-</v>
      </c>
      <c r="AF16" s="84"/>
      <c r="AG16" s="355" t="str">
        <f t="shared" si="13"/>
        <v>-</v>
      </c>
      <c r="AH16" s="356"/>
      <c r="AI16" s="357" t="str">
        <f t="shared" si="16"/>
        <v>-</v>
      </c>
      <c r="AJ16" s="358"/>
      <c r="AK16" s="85">
        <f t="shared" ca="1" si="1"/>
        <v>46568</v>
      </c>
      <c r="AL16" s="353">
        <v>13</v>
      </c>
      <c r="AM16" s="354"/>
      <c r="AN16" s="86" t="e">
        <f t="shared" si="2"/>
        <v>#DIV/0!</v>
      </c>
      <c r="AO16" s="87"/>
      <c r="AP16" s="359" t="e">
        <f t="shared" ca="1" si="3"/>
        <v>#DIV/0!</v>
      </c>
      <c r="AQ16" s="360"/>
      <c r="AR16" s="361" t="e">
        <f t="shared" ca="1" si="4"/>
        <v>#DIV/0!</v>
      </c>
      <c r="AS16" s="362"/>
      <c r="AT16" s="87" t="e">
        <f t="shared" ca="1" si="14"/>
        <v>#DIV/0!</v>
      </c>
      <c r="AU16" s="75" t="e">
        <f>AI16+AW16+AX16</f>
        <v>#VALUE!</v>
      </c>
      <c r="AW16" s="63" t="str">
        <f>IF($E$12&gt;$R$2,$E$4*0.9*5.5%,"")</f>
        <v/>
      </c>
      <c r="AX16" s="103" t="e">
        <f>IF(#REF!=0,0,IF($E$12&gt;$R$2,(AE90-SUM(AE4:AE15))*0.0299,""))</f>
        <v>#REF!</v>
      </c>
      <c r="AZ16" s="284">
        <v>1.5E-3</v>
      </c>
      <c r="BG16" s="252">
        <f t="shared" ca="1" si="17"/>
        <v>46568</v>
      </c>
      <c r="BH16" s="287" t="e">
        <f t="shared" si="23"/>
        <v>#VALUE!</v>
      </c>
      <c r="BI16" s="288"/>
      <c r="BJ16" s="247" t="e">
        <f t="shared" si="21"/>
        <v>#VALUE!</v>
      </c>
      <c r="BK16" s="248"/>
      <c r="BL16" s="251" t="e">
        <f t="shared" si="22"/>
        <v>#VALUE!</v>
      </c>
      <c r="BM16" s="248"/>
      <c r="BN16" s="249" t="e">
        <f t="shared" si="20"/>
        <v>#VALUE!</v>
      </c>
      <c r="BO16" s="250"/>
      <c r="BQ16" s="53" t="e">
        <f t="shared" si="6"/>
        <v>#VALUE!</v>
      </c>
      <c r="BR16" s="233" t="e">
        <f t="shared" si="7"/>
        <v>#VALUE!</v>
      </c>
      <c r="BS16" s="245" t="e">
        <f>BQ16-BR16</f>
        <v>#VALUE!</v>
      </c>
      <c r="BT16" s="245" t="e">
        <f t="shared" si="9"/>
        <v>#DIV/0!</v>
      </c>
      <c r="BU16" s="280" t="e">
        <f>BN16</f>
        <v>#VALUE!</v>
      </c>
    </row>
    <row r="17" spans="1:73" ht="5.7" customHeight="1" thickBot="1" x14ac:dyDescent="0.4">
      <c r="A17" s="42"/>
      <c r="B17" s="330"/>
      <c r="C17" s="331"/>
      <c r="D17" s="332"/>
      <c r="E17" s="335"/>
      <c r="F17" s="336"/>
      <c r="G17" s="170"/>
      <c r="H17" s="170"/>
      <c r="I17" s="170"/>
      <c r="J17" s="170"/>
      <c r="K17" s="170"/>
      <c r="L17" s="170"/>
      <c r="M17" s="170"/>
      <c r="N17" s="170"/>
      <c r="O17" s="62"/>
      <c r="X17" s="104" t="s">
        <v>414</v>
      </c>
      <c r="AA17" s="196" t="str">
        <f t="shared" si="0"/>
        <v>-</v>
      </c>
      <c r="AB17" s="185" t="str">
        <f t="shared" si="11"/>
        <v>-</v>
      </c>
      <c r="AC17" s="353">
        <v>14</v>
      </c>
      <c r="AD17" s="354"/>
      <c r="AE17" s="83" t="str">
        <f t="shared" si="12"/>
        <v>-</v>
      </c>
      <c r="AF17" s="84"/>
      <c r="AG17" s="355" t="str">
        <f t="shared" si="13"/>
        <v>-</v>
      </c>
      <c r="AH17" s="356"/>
      <c r="AI17" s="357" t="str">
        <f t="shared" si="16"/>
        <v>-</v>
      </c>
      <c r="AJ17" s="358"/>
      <c r="AK17" s="85">
        <f t="shared" ca="1" si="1"/>
        <v>46599</v>
      </c>
      <c r="AL17" s="353">
        <v>14</v>
      </c>
      <c r="AM17" s="354"/>
      <c r="AN17" s="86" t="e">
        <f t="shared" si="2"/>
        <v>#DIV/0!</v>
      </c>
      <c r="AO17" s="87"/>
      <c r="AP17" s="359" t="e">
        <f t="shared" ca="1" si="3"/>
        <v>#DIV/0!</v>
      </c>
      <c r="AQ17" s="360"/>
      <c r="AR17" s="361" t="e">
        <f t="shared" ca="1" si="4"/>
        <v>#DIV/0!</v>
      </c>
      <c r="AS17" s="362"/>
      <c r="AT17" s="87" t="e">
        <f t="shared" ca="1" si="14"/>
        <v>#DIV/0!</v>
      </c>
      <c r="AU17" s="75" t="str">
        <f t="shared" si="5"/>
        <v>-</v>
      </c>
      <c r="AZ17" s="284">
        <v>1.6000000000000001E-3</v>
      </c>
      <c r="BG17" s="246">
        <f t="shared" ca="1" si="17"/>
        <v>46599</v>
      </c>
      <c r="BH17" s="287" t="e">
        <f t="shared" ref="BH17:BH23" si="24">IF($E$12&gt;=BH16,BH16+1,"")</f>
        <v>#VALUE!</v>
      </c>
      <c r="BI17" s="288"/>
      <c r="BJ17" s="247" t="e">
        <f t="shared" si="21"/>
        <v>#VALUE!</v>
      </c>
      <c r="BK17" s="248"/>
      <c r="BL17" s="251" t="e">
        <f t="shared" si="22"/>
        <v>#VALUE!</v>
      </c>
      <c r="BM17" s="248"/>
      <c r="BN17" s="249" t="e">
        <f t="shared" si="20"/>
        <v>#VALUE!</v>
      </c>
      <c r="BO17" s="250"/>
      <c r="BQ17" s="53" t="e">
        <f t="shared" si="6"/>
        <v>#VALUE!</v>
      </c>
      <c r="BR17" s="233" t="e">
        <f t="shared" si="7"/>
        <v>#VALUE!</v>
      </c>
      <c r="BS17" s="245" t="e">
        <f t="shared" si="8"/>
        <v>#VALUE!</v>
      </c>
      <c r="BT17" s="245" t="e">
        <f t="shared" si="9"/>
        <v>#DIV/0!</v>
      </c>
      <c r="BU17" s="280" t="e">
        <f t="shared" ref="BU17:BU80" si="25">BN17</f>
        <v>#VALUE!</v>
      </c>
    </row>
    <row r="18" spans="1:73" ht="9" customHeight="1" thickBot="1" x14ac:dyDescent="0.4">
      <c r="A18" s="48"/>
      <c r="B18" s="173"/>
      <c r="C18" s="173"/>
      <c r="D18" s="173"/>
      <c r="E18" s="170"/>
      <c r="F18" s="170"/>
      <c r="G18" s="170"/>
      <c r="H18" s="170"/>
      <c r="I18" s="170"/>
      <c r="J18" s="170"/>
      <c r="K18" s="170"/>
      <c r="L18" s="319" t="s">
        <v>485</v>
      </c>
      <c r="M18" s="320"/>
      <c r="N18" s="395" t="e">
        <f>N2+N21</f>
        <v>#DIV/0!</v>
      </c>
      <c r="O18" s="62"/>
      <c r="U18" s="105"/>
      <c r="V18" s="105"/>
      <c r="X18" s="106" t="e">
        <f>IF(OR(#REF!=S28,#REF!=S31),"Класична","")</f>
        <v>#REF!</v>
      </c>
      <c r="AA18" s="196" t="str">
        <f t="shared" si="0"/>
        <v>-</v>
      </c>
      <c r="AB18" s="185" t="str">
        <f t="shared" si="11"/>
        <v>-</v>
      </c>
      <c r="AC18" s="353">
        <v>15</v>
      </c>
      <c r="AD18" s="354"/>
      <c r="AE18" s="83" t="str">
        <f t="shared" si="12"/>
        <v>-</v>
      </c>
      <c r="AF18" s="84"/>
      <c r="AG18" s="355" t="str">
        <f t="shared" si="13"/>
        <v>-</v>
      </c>
      <c r="AH18" s="356"/>
      <c r="AI18" s="357" t="str">
        <f t="shared" si="16"/>
        <v>-</v>
      </c>
      <c r="AJ18" s="358"/>
      <c r="AK18" s="85">
        <f t="shared" ca="1" si="1"/>
        <v>46630</v>
      </c>
      <c r="AL18" s="353">
        <v>15</v>
      </c>
      <c r="AM18" s="354"/>
      <c r="AN18" s="86" t="e">
        <f t="shared" si="2"/>
        <v>#DIV/0!</v>
      </c>
      <c r="AO18" s="87"/>
      <c r="AP18" s="359" t="e">
        <f t="shared" ca="1" si="3"/>
        <v>#DIV/0!</v>
      </c>
      <c r="AQ18" s="360"/>
      <c r="AR18" s="361" t="e">
        <f t="shared" ca="1" si="4"/>
        <v>#DIV/0!</v>
      </c>
      <c r="AS18" s="362"/>
      <c r="AT18" s="87" t="e">
        <f t="shared" ca="1" si="14"/>
        <v>#DIV/0!</v>
      </c>
      <c r="AU18" s="75" t="str">
        <f t="shared" si="5"/>
        <v>-</v>
      </c>
      <c r="AZ18" s="284">
        <v>1.6999999999999999E-3</v>
      </c>
      <c r="BG18" s="246">
        <f t="shared" ca="1" si="17"/>
        <v>46630</v>
      </c>
      <c r="BH18" s="287" t="e">
        <f t="shared" si="24"/>
        <v>#VALUE!</v>
      </c>
      <c r="BI18" s="288"/>
      <c r="BJ18" s="247" t="e">
        <f t="shared" si="21"/>
        <v>#VALUE!</v>
      </c>
      <c r="BK18" s="248"/>
      <c r="BL18" s="251" t="e">
        <f t="shared" si="22"/>
        <v>#VALUE!</v>
      </c>
      <c r="BM18" s="248"/>
      <c r="BN18" s="249" t="e">
        <f t="shared" si="20"/>
        <v>#VALUE!</v>
      </c>
      <c r="BO18" s="250"/>
      <c r="BQ18" s="53" t="e">
        <f t="shared" si="6"/>
        <v>#VALUE!</v>
      </c>
      <c r="BR18" s="233" t="e">
        <f t="shared" si="7"/>
        <v>#VALUE!</v>
      </c>
      <c r="BS18" s="245" t="e">
        <f t="shared" si="8"/>
        <v>#VALUE!</v>
      </c>
      <c r="BT18" s="245" t="e">
        <f t="shared" si="9"/>
        <v>#DIV/0!</v>
      </c>
      <c r="BU18" s="280" t="e">
        <f t="shared" si="25"/>
        <v>#VALUE!</v>
      </c>
    </row>
    <row r="19" spans="1:73" ht="52.2" customHeight="1" thickBot="1" x14ac:dyDescent="0.4">
      <c r="A19" s="45"/>
      <c r="B19" s="342" t="s">
        <v>486</v>
      </c>
      <c r="C19" s="343"/>
      <c r="D19" s="344"/>
      <c r="E19" s="393" t="b">
        <f>IF(OR(F10&gt;80,AND(F8&gt;0,N4&gt;80%,X4&lt;&gt;3)),"Для уточнення інформації звертайтесь на відділення",R41)</f>
        <v>0</v>
      </c>
      <c r="F19" s="394"/>
      <c r="G19" s="170"/>
      <c r="H19" s="170"/>
      <c r="I19" s="170"/>
      <c r="J19" s="170"/>
      <c r="K19" s="170"/>
      <c r="L19" s="321"/>
      <c r="M19" s="322"/>
      <c r="N19" s="396"/>
      <c r="O19" s="62"/>
      <c r="R19" s="67" t="s">
        <v>437</v>
      </c>
      <c r="T19" s="107"/>
      <c r="U19" s="62" t="s">
        <v>438</v>
      </c>
      <c r="V19" s="108">
        <f ca="1">TODAY()</f>
        <v>46181</v>
      </c>
      <c r="X19" s="109">
        <v>1</v>
      </c>
      <c r="Y19" s="92">
        <v>31</v>
      </c>
      <c r="AA19" s="196" t="str">
        <f t="shared" si="0"/>
        <v>-</v>
      </c>
      <c r="AB19" s="185" t="str">
        <f t="shared" si="11"/>
        <v>-</v>
      </c>
      <c r="AC19" s="353">
        <v>16</v>
      </c>
      <c r="AD19" s="354"/>
      <c r="AE19" s="83" t="str">
        <f t="shared" si="12"/>
        <v>-</v>
      </c>
      <c r="AF19" s="84"/>
      <c r="AG19" s="355" t="str">
        <f t="shared" si="13"/>
        <v>-</v>
      </c>
      <c r="AH19" s="356"/>
      <c r="AI19" s="357" t="str">
        <f t="shared" si="16"/>
        <v>-</v>
      </c>
      <c r="AJ19" s="358"/>
      <c r="AK19" s="85">
        <f t="shared" ca="1" si="1"/>
        <v>46660</v>
      </c>
      <c r="AL19" s="353">
        <v>16</v>
      </c>
      <c r="AM19" s="354"/>
      <c r="AN19" s="86" t="e">
        <f t="shared" si="2"/>
        <v>#DIV/0!</v>
      </c>
      <c r="AO19" s="87"/>
      <c r="AP19" s="359" t="e">
        <f t="shared" ca="1" si="3"/>
        <v>#DIV/0!</v>
      </c>
      <c r="AQ19" s="360"/>
      <c r="AR19" s="361" t="e">
        <f t="shared" ca="1" si="4"/>
        <v>#DIV/0!</v>
      </c>
      <c r="AS19" s="362"/>
      <c r="AT19" s="87" t="e">
        <f t="shared" ca="1" si="14"/>
        <v>#DIV/0!</v>
      </c>
      <c r="AU19" s="75" t="str">
        <f t="shared" si="5"/>
        <v>-</v>
      </c>
      <c r="AZ19" s="284">
        <v>1.8E-3</v>
      </c>
      <c r="BB19" s="211" t="s">
        <v>510</v>
      </c>
      <c r="BC19" s="212" t="e">
        <f>$N$2</f>
        <v>#DIV/0!</v>
      </c>
      <c r="BG19" s="246">
        <f t="shared" ca="1" si="17"/>
        <v>46660</v>
      </c>
      <c r="BH19" s="287" t="e">
        <f t="shared" si="24"/>
        <v>#VALUE!</v>
      </c>
      <c r="BI19" s="288"/>
      <c r="BJ19" s="247" t="e">
        <f t="shared" si="21"/>
        <v>#VALUE!</v>
      </c>
      <c r="BK19" s="248"/>
      <c r="BL19" s="251" t="e">
        <f t="shared" si="22"/>
        <v>#VALUE!</v>
      </c>
      <c r="BM19" s="248"/>
      <c r="BN19" s="249" t="e">
        <f t="shared" si="20"/>
        <v>#VALUE!</v>
      </c>
      <c r="BO19" s="250"/>
      <c r="BQ19" s="53" t="e">
        <f t="shared" si="6"/>
        <v>#VALUE!</v>
      </c>
      <c r="BR19" s="233" t="e">
        <f t="shared" si="7"/>
        <v>#VALUE!</v>
      </c>
      <c r="BS19" s="245" t="e">
        <f t="shared" si="8"/>
        <v>#VALUE!</v>
      </c>
      <c r="BT19" s="245" t="e">
        <f t="shared" si="9"/>
        <v>#DIV/0!</v>
      </c>
      <c r="BU19" s="280" t="e">
        <f t="shared" si="25"/>
        <v>#VALUE!</v>
      </c>
    </row>
    <row r="20" spans="1:73" ht="10.199999999999999" customHeight="1" thickBot="1" x14ac:dyDescent="0.35">
      <c r="A20" s="51"/>
      <c r="B20" s="51"/>
      <c r="C20" s="51"/>
      <c r="D20" s="51"/>
      <c r="E20" s="51"/>
      <c r="F20" s="51"/>
      <c r="H20" s="42"/>
      <c r="I20" s="42"/>
      <c r="J20" s="42"/>
      <c r="K20" s="42"/>
      <c r="L20" s="42"/>
      <c r="M20" s="42"/>
      <c r="N20" s="44"/>
      <c r="O20" s="62"/>
      <c r="R20" s="110" t="e">
        <f>IF(#REF!="Так",ROUND((E4-F10+N8)*#REF!/100,2),IF(#REF!="Ні",ROUND((E4-F10)*#REF!/100,2),0))</f>
        <v>#REF!</v>
      </c>
      <c r="U20" s="111" t="s">
        <v>439</v>
      </c>
      <c r="V20" s="112">
        <f ca="1">DAY(V19)</f>
        <v>8</v>
      </c>
      <c r="X20" s="92">
        <v>2</v>
      </c>
      <c r="Y20" s="92">
        <v>28</v>
      </c>
      <c r="AA20" s="196" t="str">
        <f t="shared" si="0"/>
        <v>-</v>
      </c>
      <c r="AB20" s="185" t="str">
        <f t="shared" si="11"/>
        <v>-</v>
      </c>
      <c r="AC20" s="353">
        <v>17</v>
      </c>
      <c r="AD20" s="354"/>
      <c r="AE20" s="83" t="str">
        <f t="shared" si="12"/>
        <v>-</v>
      </c>
      <c r="AF20" s="84"/>
      <c r="AG20" s="355" t="str">
        <f t="shared" si="13"/>
        <v>-</v>
      </c>
      <c r="AH20" s="356"/>
      <c r="AI20" s="357" t="str">
        <f t="shared" si="16"/>
        <v>-</v>
      </c>
      <c r="AJ20" s="358"/>
      <c r="AK20" s="85">
        <f t="shared" ca="1" si="1"/>
        <v>46691</v>
      </c>
      <c r="AL20" s="353">
        <v>17</v>
      </c>
      <c r="AM20" s="354"/>
      <c r="AN20" s="86" t="e">
        <f t="shared" si="2"/>
        <v>#DIV/0!</v>
      </c>
      <c r="AO20" s="87"/>
      <c r="AP20" s="359" t="e">
        <f t="shared" ca="1" si="3"/>
        <v>#DIV/0!</v>
      </c>
      <c r="AQ20" s="360"/>
      <c r="AR20" s="361" t="e">
        <f t="shared" ca="1" si="4"/>
        <v>#DIV/0!</v>
      </c>
      <c r="AS20" s="362"/>
      <c r="AT20" s="87" t="e">
        <f t="shared" ca="1" si="14"/>
        <v>#DIV/0!</v>
      </c>
      <c r="AU20" s="75" t="str">
        <f t="shared" si="5"/>
        <v>-</v>
      </c>
      <c r="AZ20" s="284">
        <v>1.9E-3</v>
      </c>
      <c r="BB20" s="213" t="s">
        <v>511</v>
      </c>
      <c r="BC20" s="214">
        <f>Калькулятор!Q49/100</f>
        <v>0</v>
      </c>
      <c r="BG20" s="246">
        <f t="shared" ca="1" si="17"/>
        <v>46691</v>
      </c>
      <c r="BH20" s="287" t="e">
        <f t="shared" si="24"/>
        <v>#VALUE!</v>
      </c>
      <c r="BI20" s="288"/>
      <c r="BJ20" s="247" t="e">
        <f>IF($BJ$4=0,BS19,BS20)</f>
        <v>#VALUE!</v>
      </c>
      <c r="BK20" s="248"/>
      <c r="BL20" s="251" t="e">
        <f>IF($AE$4=0,BR19,BR20)</f>
        <v>#VALUE!</v>
      </c>
      <c r="BM20" s="248"/>
      <c r="BN20" s="249" t="e">
        <f t="shared" si="20"/>
        <v>#VALUE!</v>
      </c>
      <c r="BO20" s="250"/>
      <c r="BQ20" s="53" t="e">
        <f t="shared" si="6"/>
        <v>#VALUE!</v>
      </c>
      <c r="BR20" s="233" t="e">
        <f>IF(BH20&lt;=$BC$23,($BC$20/12)*BT19,($BC$21/12)*BT19)</f>
        <v>#VALUE!</v>
      </c>
      <c r="BS20" s="245" t="e">
        <f t="shared" si="8"/>
        <v>#VALUE!</v>
      </c>
      <c r="BT20" s="245" t="e">
        <f t="shared" si="9"/>
        <v>#DIV/0!</v>
      </c>
      <c r="BU20" s="280" t="e">
        <f t="shared" si="25"/>
        <v>#VALUE!</v>
      </c>
    </row>
    <row r="21" spans="1:73" ht="33" customHeight="1" thickBot="1" x14ac:dyDescent="0.35">
      <c r="A21" s="147"/>
      <c r="B21" s="342" t="s">
        <v>504</v>
      </c>
      <c r="C21" s="343"/>
      <c r="D21" s="344"/>
      <c r="E21" s="345">
        <f>IF(X4=2,N4,F8)+P2+P4+N16</f>
        <v>0</v>
      </c>
      <c r="F21" s="346"/>
      <c r="G21" s="118"/>
      <c r="H21" s="118"/>
      <c r="I21" s="118"/>
      <c r="J21" s="118"/>
      <c r="K21" s="118"/>
      <c r="L21" s="325" t="s">
        <v>487</v>
      </c>
      <c r="M21" s="326"/>
      <c r="N21" s="203">
        <f>N13+SUM(R36:R40)+Z3</f>
        <v>0</v>
      </c>
      <c r="O21" s="62"/>
      <c r="U21" s="114" t="s">
        <v>416</v>
      </c>
      <c r="V21" s="115">
        <f ca="1">MONTH(V19)</f>
        <v>6</v>
      </c>
      <c r="X21" s="92">
        <v>3</v>
      </c>
      <c r="Y21" s="92">
        <v>31</v>
      </c>
      <c r="AA21" s="196" t="str">
        <f t="shared" si="0"/>
        <v>-</v>
      </c>
      <c r="AB21" s="185" t="str">
        <f t="shared" si="11"/>
        <v>-</v>
      </c>
      <c r="AC21" s="353">
        <v>18</v>
      </c>
      <c r="AD21" s="354"/>
      <c r="AE21" s="83" t="str">
        <f t="shared" si="12"/>
        <v>-</v>
      </c>
      <c r="AF21" s="84"/>
      <c r="AG21" s="355" t="str">
        <f t="shared" si="13"/>
        <v>-</v>
      </c>
      <c r="AH21" s="356"/>
      <c r="AI21" s="357" t="str">
        <f t="shared" si="16"/>
        <v>-</v>
      </c>
      <c r="AJ21" s="358"/>
      <c r="AK21" s="85">
        <f t="shared" ca="1" si="1"/>
        <v>46721</v>
      </c>
      <c r="AL21" s="353">
        <v>18</v>
      </c>
      <c r="AM21" s="354"/>
      <c r="AN21" s="86" t="e">
        <f t="shared" si="2"/>
        <v>#DIV/0!</v>
      </c>
      <c r="AO21" s="87"/>
      <c r="AP21" s="359" t="e">
        <f t="shared" ca="1" si="3"/>
        <v>#DIV/0!</v>
      </c>
      <c r="AQ21" s="360"/>
      <c r="AR21" s="361" t="e">
        <f t="shared" ca="1" si="4"/>
        <v>#DIV/0!</v>
      </c>
      <c r="AS21" s="362"/>
      <c r="AT21" s="87" t="e">
        <f t="shared" ca="1" si="14"/>
        <v>#DIV/0!</v>
      </c>
      <c r="AU21" s="75" t="str">
        <f t="shared" si="5"/>
        <v>-</v>
      </c>
      <c r="AZ21" s="284">
        <v>2E-3</v>
      </c>
      <c r="BB21" s="213" t="s">
        <v>512</v>
      </c>
      <c r="BC21" s="215" t="e">
        <f>E14/100</f>
        <v>#VALUE!</v>
      </c>
      <c r="BG21" s="246">
        <f t="shared" ca="1" si="17"/>
        <v>46721</v>
      </c>
      <c r="BH21" s="287" t="e">
        <f t="shared" si="24"/>
        <v>#VALUE!</v>
      </c>
      <c r="BI21" s="288"/>
      <c r="BJ21" s="247" t="e">
        <f t="shared" ref="BJ21:BJ24" si="26">IF($BJ$4=0,BS20,BS21)</f>
        <v>#VALUE!</v>
      </c>
      <c r="BK21" s="248"/>
      <c r="BL21" s="251" t="e">
        <f t="shared" ref="BL21:BL24" si="27">IF($AE$4=0,BR20,BR21)</f>
        <v>#VALUE!</v>
      </c>
      <c r="BM21" s="248"/>
      <c r="BN21" s="249" t="e">
        <f t="shared" si="20"/>
        <v>#VALUE!</v>
      </c>
      <c r="BO21" s="250"/>
      <c r="BQ21" s="53" t="e">
        <f t="shared" si="6"/>
        <v>#VALUE!</v>
      </c>
      <c r="BR21" s="233" t="e">
        <f t="shared" si="7"/>
        <v>#VALUE!</v>
      </c>
      <c r="BS21" s="245" t="e">
        <f t="shared" si="8"/>
        <v>#VALUE!</v>
      </c>
      <c r="BT21" s="245" t="e">
        <f t="shared" si="9"/>
        <v>#DIV/0!</v>
      </c>
      <c r="BU21" s="280" t="e">
        <f t="shared" si="25"/>
        <v>#VALUE!</v>
      </c>
    </row>
    <row r="22" spans="1:73" ht="13.2" customHeight="1" thickBot="1" x14ac:dyDescent="0.35">
      <c r="A22" s="61"/>
      <c r="B22" s="262"/>
      <c r="C22" s="262"/>
      <c r="D22" s="262"/>
      <c r="E22" s="263"/>
      <c r="F22" s="263"/>
      <c r="G22" s="118"/>
      <c r="H22" s="118"/>
      <c r="I22" s="118"/>
      <c r="J22" s="118"/>
      <c r="K22" s="118"/>
      <c r="L22" s="264"/>
      <c r="M22" s="264"/>
      <c r="N22" s="263"/>
      <c r="O22" s="62"/>
      <c r="U22" s="116" t="s">
        <v>441</v>
      </c>
      <c r="V22" s="117">
        <v>1200000</v>
      </c>
      <c r="X22" s="92">
        <v>4</v>
      </c>
      <c r="Y22" s="92">
        <v>30</v>
      </c>
      <c r="AA22" s="196" t="str">
        <f t="shared" si="0"/>
        <v>-</v>
      </c>
      <c r="AB22" s="185" t="str">
        <f t="shared" si="11"/>
        <v>-</v>
      </c>
      <c r="AC22" s="353">
        <v>19</v>
      </c>
      <c r="AD22" s="354"/>
      <c r="AE22" s="83" t="str">
        <f t="shared" si="12"/>
        <v>-</v>
      </c>
      <c r="AF22" s="84"/>
      <c r="AG22" s="355" t="str">
        <f t="shared" si="13"/>
        <v>-</v>
      </c>
      <c r="AH22" s="356"/>
      <c r="AI22" s="357" t="str">
        <f t="shared" si="16"/>
        <v>-</v>
      </c>
      <c r="AJ22" s="358"/>
      <c r="AK22" s="85">
        <f t="shared" ca="1" si="1"/>
        <v>46752</v>
      </c>
      <c r="AL22" s="353">
        <v>19</v>
      </c>
      <c r="AM22" s="354"/>
      <c r="AN22" s="86" t="e">
        <f t="shared" si="2"/>
        <v>#DIV/0!</v>
      </c>
      <c r="AO22" s="87"/>
      <c r="AP22" s="359" t="e">
        <f t="shared" ca="1" si="3"/>
        <v>#DIV/0!</v>
      </c>
      <c r="AQ22" s="360"/>
      <c r="AR22" s="361" t="e">
        <f t="shared" ca="1" si="4"/>
        <v>#DIV/0!</v>
      </c>
      <c r="AS22" s="362"/>
      <c r="AT22" s="87" t="e">
        <f t="shared" ca="1" si="14"/>
        <v>#DIV/0!</v>
      </c>
      <c r="AU22" s="75" t="str">
        <f t="shared" si="5"/>
        <v>-</v>
      </c>
      <c r="AZ22" s="284">
        <v>2.0999999999999999E-3</v>
      </c>
      <c r="BB22" s="213" t="s">
        <v>513</v>
      </c>
      <c r="BC22" s="216">
        <f>E12</f>
        <v>0</v>
      </c>
      <c r="BG22" s="246">
        <f t="shared" ca="1" si="17"/>
        <v>46752</v>
      </c>
      <c r="BH22" s="287" t="e">
        <f t="shared" si="24"/>
        <v>#VALUE!</v>
      </c>
      <c r="BI22" s="288"/>
      <c r="BJ22" s="247" t="e">
        <f t="shared" si="26"/>
        <v>#VALUE!</v>
      </c>
      <c r="BK22" s="248"/>
      <c r="BL22" s="251" t="e">
        <f t="shared" si="27"/>
        <v>#VALUE!</v>
      </c>
      <c r="BM22" s="248"/>
      <c r="BN22" s="249" t="e">
        <f t="shared" si="20"/>
        <v>#VALUE!</v>
      </c>
      <c r="BO22" s="250"/>
      <c r="BQ22" s="53" t="e">
        <f t="shared" si="6"/>
        <v>#VALUE!</v>
      </c>
      <c r="BR22" s="233" t="e">
        <f t="shared" si="7"/>
        <v>#VALUE!</v>
      </c>
      <c r="BS22" s="245" t="e">
        <f t="shared" si="8"/>
        <v>#VALUE!</v>
      </c>
      <c r="BT22" s="245" t="e">
        <f t="shared" si="9"/>
        <v>#DIV/0!</v>
      </c>
      <c r="BU22" s="280" t="e">
        <f t="shared" si="25"/>
        <v>#VALUE!</v>
      </c>
    </row>
    <row r="23" spans="1:73" ht="48" customHeight="1" thickBot="1" x14ac:dyDescent="0.35">
      <c r="A23" s="43"/>
      <c r="B23" s="306" t="s">
        <v>540</v>
      </c>
      <c r="C23" s="306"/>
      <c r="D23" s="306"/>
      <c r="E23" s="306"/>
      <c r="F23" s="306"/>
      <c r="G23" s="306"/>
      <c r="H23" s="306"/>
      <c r="I23" s="306"/>
      <c r="J23" s="306"/>
      <c r="K23" s="306"/>
      <c r="L23" s="306"/>
      <c r="M23" s="306"/>
      <c r="N23" s="306"/>
      <c r="O23" s="62"/>
      <c r="U23" s="119" t="s">
        <v>442</v>
      </c>
      <c r="V23" s="120">
        <f>IF(X4=1,F8/E4*100,IF(X4=2,F10,0))</f>
        <v>0</v>
      </c>
      <c r="X23" s="92">
        <v>5</v>
      </c>
      <c r="Y23" s="92">
        <v>31</v>
      </c>
      <c r="AA23" s="196" t="str">
        <f t="shared" si="0"/>
        <v>-</v>
      </c>
      <c r="AB23" s="185" t="str">
        <f t="shared" si="11"/>
        <v>-</v>
      </c>
      <c r="AC23" s="353">
        <v>20</v>
      </c>
      <c r="AD23" s="354"/>
      <c r="AE23" s="83" t="str">
        <f t="shared" si="12"/>
        <v>-</v>
      </c>
      <c r="AF23" s="84"/>
      <c r="AG23" s="355" t="str">
        <f t="shared" si="13"/>
        <v>-</v>
      </c>
      <c r="AH23" s="356"/>
      <c r="AI23" s="357" t="str">
        <f t="shared" si="16"/>
        <v>-</v>
      </c>
      <c r="AJ23" s="358"/>
      <c r="AK23" s="85">
        <f t="shared" ca="1" si="1"/>
        <v>46783</v>
      </c>
      <c r="AL23" s="353">
        <v>20</v>
      </c>
      <c r="AM23" s="354"/>
      <c r="AN23" s="86" t="e">
        <f t="shared" si="2"/>
        <v>#DIV/0!</v>
      </c>
      <c r="AO23" s="87"/>
      <c r="AP23" s="359" t="e">
        <f t="shared" ca="1" si="3"/>
        <v>#DIV/0!</v>
      </c>
      <c r="AQ23" s="360"/>
      <c r="AR23" s="361" t="e">
        <f t="shared" ca="1" si="4"/>
        <v>#DIV/0!</v>
      </c>
      <c r="AS23" s="362"/>
      <c r="AT23" s="87" t="e">
        <f t="shared" ca="1" si="14"/>
        <v>#DIV/0!</v>
      </c>
      <c r="AU23" s="75" t="str">
        <f t="shared" si="5"/>
        <v>-</v>
      </c>
      <c r="AZ23" s="284">
        <v>2.2000000000000001E-3</v>
      </c>
      <c r="BB23" s="213" t="s">
        <v>514</v>
      </c>
      <c r="BC23" s="217" t="str">
        <f>N26</f>
        <v/>
      </c>
      <c r="BG23" s="246">
        <f t="shared" ca="1" si="17"/>
        <v>46783</v>
      </c>
      <c r="BH23" s="287" t="e">
        <f t="shared" si="24"/>
        <v>#VALUE!</v>
      </c>
      <c r="BI23" s="288"/>
      <c r="BJ23" s="247" t="e">
        <f t="shared" si="26"/>
        <v>#VALUE!</v>
      </c>
      <c r="BK23" s="248"/>
      <c r="BL23" s="251" t="e">
        <f t="shared" si="27"/>
        <v>#VALUE!</v>
      </c>
      <c r="BM23" s="248"/>
      <c r="BN23" s="249" t="e">
        <f t="shared" si="20"/>
        <v>#VALUE!</v>
      </c>
      <c r="BO23" s="250"/>
      <c r="BQ23" s="53" t="e">
        <f t="shared" si="6"/>
        <v>#VALUE!</v>
      </c>
      <c r="BR23" s="233" t="e">
        <f t="shared" si="7"/>
        <v>#VALUE!</v>
      </c>
      <c r="BS23" s="245" t="e">
        <f t="shared" si="8"/>
        <v>#VALUE!</v>
      </c>
      <c r="BT23" s="245" t="e">
        <f t="shared" si="9"/>
        <v>#DIV/0!</v>
      </c>
      <c r="BU23" s="280" t="e">
        <f t="shared" si="25"/>
        <v>#VALUE!</v>
      </c>
    </row>
    <row r="24" spans="1:73" ht="41.7" customHeight="1" thickBot="1" x14ac:dyDescent="0.35">
      <c r="A24" s="43"/>
      <c r="B24" s="341" t="s">
        <v>321</v>
      </c>
      <c r="C24" s="341"/>
      <c r="D24" s="204" t="s">
        <v>323</v>
      </c>
      <c r="E24" s="340" t="s">
        <v>324</v>
      </c>
      <c r="F24" s="340"/>
      <c r="G24" s="352" t="s">
        <v>508</v>
      </c>
      <c r="H24" s="352"/>
      <c r="I24" s="202"/>
      <c r="J24" s="61"/>
      <c r="K24" s="61"/>
      <c r="L24" s="61"/>
      <c r="M24" s="267" t="s">
        <v>525</v>
      </c>
      <c r="N24" s="268" t="str">
        <f>IF(E12="","",IF(E12=12,"ні","так"))</f>
        <v/>
      </c>
      <c r="O24" s="62"/>
      <c r="Q24" s="121">
        <f ca="1">TODAY()</f>
        <v>46181</v>
      </c>
      <c r="R24" s="122" t="s">
        <v>438</v>
      </c>
      <c r="S24" s="122" t="s">
        <v>443</v>
      </c>
      <c r="X24" s="92"/>
      <c r="Y24" s="92"/>
      <c r="AA24" s="196" t="str">
        <f t="shared" si="0"/>
        <v>-</v>
      </c>
      <c r="AB24" s="185" t="str">
        <f t="shared" si="11"/>
        <v>-</v>
      </c>
      <c r="AC24" s="353">
        <v>21</v>
      </c>
      <c r="AD24" s="354"/>
      <c r="AE24" s="83" t="str">
        <f t="shared" si="12"/>
        <v>-</v>
      </c>
      <c r="AF24" s="84"/>
      <c r="AG24" s="355" t="str">
        <f t="shared" si="13"/>
        <v>-</v>
      </c>
      <c r="AH24" s="356"/>
      <c r="AI24" s="357" t="str">
        <f t="shared" si="16"/>
        <v>-</v>
      </c>
      <c r="AJ24" s="358"/>
      <c r="AK24" s="85">
        <f t="shared" ca="1" si="1"/>
        <v>46812</v>
      </c>
      <c r="AL24" s="353">
        <v>21</v>
      </c>
      <c r="AM24" s="354"/>
      <c r="AN24" s="86" t="e">
        <f t="shared" si="2"/>
        <v>#DIV/0!</v>
      </c>
      <c r="AO24" s="87"/>
      <c r="AP24" s="359" t="e">
        <f t="shared" ca="1" si="3"/>
        <v>#DIV/0!</v>
      </c>
      <c r="AQ24" s="360"/>
      <c r="AR24" s="361" t="e">
        <f t="shared" ca="1" si="4"/>
        <v>#DIV/0!</v>
      </c>
      <c r="AS24" s="362"/>
      <c r="AT24" s="87" t="e">
        <f t="shared" ca="1" si="14"/>
        <v>#DIV/0!</v>
      </c>
      <c r="AU24" s="75" t="str">
        <f t="shared" si="5"/>
        <v>-</v>
      </c>
      <c r="AZ24" s="284">
        <v>2.3E-3</v>
      </c>
      <c r="BB24" s="218" t="s">
        <v>515</v>
      </c>
      <c r="BC24" s="219" t="e">
        <f>BC22-BC23</f>
        <v>#VALUE!</v>
      </c>
      <c r="BG24" s="246">
        <f t="shared" ca="1" si="17"/>
        <v>46812</v>
      </c>
      <c r="BH24" s="287" t="e">
        <f t="shared" ref="BH24:BH28" si="28">IF($E$12&gt;=BH23,BH23+1,"")</f>
        <v>#VALUE!</v>
      </c>
      <c r="BI24" s="288"/>
      <c r="BJ24" s="247" t="e">
        <f t="shared" si="26"/>
        <v>#VALUE!</v>
      </c>
      <c r="BK24" s="248"/>
      <c r="BL24" s="251" t="e">
        <f t="shared" si="27"/>
        <v>#VALUE!</v>
      </c>
      <c r="BM24" s="248"/>
      <c r="BN24" s="249" t="e">
        <f t="shared" si="20"/>
        <v>#VALUE!</v>
      </c>
      <c r="BO24" s="250"/>
      <c r="BQ24" s="53" t="e">
        <f t="shared" si="6"/>
        <v>#VALUE!</v>
      </c>
      <c r="BR24" s="233" t="e">
        <f t="shared" si="7"/>
        <v>#VALUE!</v>
      </c>
      <c r="BS24" s="245" t="e">
        <f t="shared" si="8"/>
        <v>#VALUE!</v>
      </c>
      <c r="BT24" s="245" t="e">
        <f t="shared" si="9"/>
        <v>#DIV/0!</v>
      </c>
      <c r="BU24" s="280" t="e">
        <f t="shared" si="25"/>
        <v>#VALUE!</v>
      </c>
    </row>
    <row r="25" spans="1:73" ht="13.95" customHeight="1" thickBot="1" x14ac:dyDescent="0.35">
      <c r="A25" s="43"/>
      <c r="B25" s="314">
        <v>1</v>
      </c>
      <c r="C25" s="314"/>
      <c r="D25" s="205" t="e">
        <f t="shared" ref="D25:D36" si="29">IF($N$24="ні",AE4,BJ4)</f>
        <v>#VALUE!</v>
      </c>
      <c r="E25" s="313" t="e">
        <f t="shared" ref="E25:E36" si="30">IF($N$24="ні",AG4,BL4)</f>
        <v>#DIV/0!</v>
      </c>
      <c r="F25" s="313"/>
      <c r="G25" s="313" t="e">
        <f t="shared" ref="G25:G36" si="31">IF($N$24="ні",AI4,BN4)</f>
        <v>#DIV/0!</v>
      </c>
      <c r="H25" s="313"/>
      <c r="I25" s="202"/>
      <c r="J25" s="61"/>
      <c r="K25" s="61"/>
      <c r="L25" s="265"/>
      <c r="M25" s="272"/>
      <c r="N25" s="269"/>
      <c r="O25" s="62"/>
      <c r="Q25" s="122">
        <f ca="1">IF(Q24&lt;R26,S25,IF(Q24&lt;R27,S26,S27))</f>
        <v>2270</v>
      </c>
      <c r="R25" s="121">
        <v>43831</v>
      </c>
      <c r="S25" s="122">
        <v>2102</v>
      </c>
      <c r="T25" s="123"/>
      <c r="U25" s="111" t="s">
        <v>496</v>
      </c>
      <c r="V25" s="108">
        <f ca="1">EDATE(V19,V26)-1</f>
        <v>46180</v>
      </c>
      <c r="W25" s="124"/>
      <c r="X25" s="92">
        <v>6</v>
      </c>
      <c r="Y25" s="92">
        <v>30</v>
      </c>
      <c r="AA25" s="196" t="str">
        <f t="shared" si="0"/>
        <v>-</v>
      </c>
      <c r="AB25" s="185" t="str">
        <f t="shared" si="11"/>
        <v>-</v>
      </c>
      <c r="AC25" s="353">
        <v>22</v>
      </c>
      <c r="AD25" s="354"/>
      <c r="AE25" s="83" t="str">
        <f t="shared" si="12"/>
        <v>-</v>
      </c>
      <c r="AF25" s="84"/>
      <c r="AG25" s="355" t="str">
        <f t="shared" si="13"/>
        <v>-</v>
      </c>
      <c r="AH25" s="356"/>
      <c r="AI25" s="357" t="str">
        <f t="shared" si="16"/>
        <v>-</v>
      </c>
      <c r="AJ25" s="358"/>
      <c r="AK25" s="85">
        <f t="shared" ca="1" si="1"/>
        <v>46843</v>
      </c>
      <c r="AL25" s="353">
        <v>22</v>
      </c>
      <c r="AM25" s="354"/>
      <c r="AN25" s="86" t="e">
        <f t="shared" si="2"/>
        <v>#DIV/0!</v>
      </c>
      <c r="AO25" s="87"/>
      <c r="AP25" s="359" t="e">
        <f t="shared" ca="1" si="3"/>
        <v>#DIV/0!</v>
      </c>
      <c r="AQ25" s="360"/>
      <c r="AR25" s="361" t="e">
        <f t="shared" ca="1" si="4"/>
        <v>#DIV/0!</v>
      </c>
      <c r="AS25" s="362"/>
      <c r="AT25" s="87" t="e">
        <f t="shared" ca="1" si="14"/>
        <v>#DIV/0!</v>
      </c>
      <c r="AU25" s="75" t="str">
        <f t="shared" si="5"/>
        <v>-</v>
      </c>
      <c r="AZ25" s="284">
        <v>2.3999999999999998E-3</v>
      </c>
      <c r="BB25" s="42"/>
      <c r="BC25" s="220"/>
      <c r="BG25" s="246">
        <f t="shared" ca="1" si="17"/>
        <v>46843</v>
      </c>
      <c r="BH25" s="287" t="e">
        <f t="shared" si="28"/>
        <v>#VALUE!</v>
      </c>
      <c r="BI25" s="288"/>
      <c r="BJ25" s="247" t="e">
        <f>IF($BJ$4=0,BS24,BS25)</f>
        <v>#VALUE!</v>
      </c>
      <c r="BK25" s="248"/>
      <c r="BL25" s="251" t="e">
        <f>IF($AE$4=0,BR24,BR25)</f>
        <v>#VALUE!</v>
      </c>
      <c r="BM25" s="248"/>
      <c r="BN25" s="249" t="e">
        <f t="shared" si="20"/>
        <v>#VALUE!</v>
      </c>
      <c r="BO25" s="250"/>
      <c r="BQ25" s="53" t="e">
        <f t="shared" si="6"/>
        <v>#VALUE!</v>
      </c>
      <c r="BR25" s="233" t="e">
        <f t="shared" si="7"/>
        <v>#VALUE!</v>
      </c>
      <c r="BS25" s="245" t="e">
        <f t="shared" si="8"/>
        <v>#VALUE!</v>
      </c>
      <c r="BT25" s="245" t="e">
        <f t="shared" si="9"/>
        <v>#DIV/0!</v>
      </c>
      <c r="BU25" s="280" t="e">
        <f t="shared" si="25"/>
        <v>#VALUE!</v>
      </c>
    </row>
    <row r="26" spans="1:73" ht="13.95" customHeight="1" thickBot="1" x14ac:dyDescent="0.35">
      <c r="A26" s="43"/>
      <c r="B26" s="314">
        <v>2</v>
      </c>
      <c r="C26" s="314"/>
      <c r="D26" s="205" t="e">
        <f t="shared" si="29"/>
        <v>#VALUE!</v>
      </c>
      <c r="E26" s="313" t="e">
        <f t="shared" si="30"/>
        <v>#VALUE!</v>
      </c>
      <c r="F26" s="313"/>
      <c r="G26" s="313" t="e">
        <f t="shared" si="31"/>
        <v>#VALUE!</v>
      </c>
      <c r="H26" s="313"/>
      <c r="I26" s="202"/>
      <c r="J26" s="61"/>
      <c r="K26" s="61"/>
      <c r="L26" s="265"/>
      <c r="M26" s="347" t="str">
        <f>IF($N$24="так","Тривалість пільгового періоду","")</f>
        <v/>
      </c>
      <c r="N26" s="412" t="str">
        <f>IF($N$24="так",IF(E12=60,12,IF(E12=84,24,"")),"")</f>
        <v/>
      </c>
      <c r="O26" s="125"/>
      <c r="Q26" s="122"/>
      <c r="R26" s="121">
        <v>44013</v>
      </c>
      <c r="S26" s="122">
        <v>2197</v>
      </c>
      <c r="T26" s="123"/>
      <c r="U26" s="115" t="s">
        <v>497</v>
      </c>
      <c r="V26" s="115">
        <f>E12</f>
        <v>0</v>
      </c>
      <c r="W26" s="124"/>
      <c r="X26" s="92">
        <v>7</v>
      </c>
      <c r="Y26" s="92">
        <v>31</v>
      </c>
      <c r="AA26" s="196" t="str">
        <f t="shared" si="0"/>
        <v>-</v>
      </c>
      <c r="AB26" s="185" t="str">
        <f t="shared" si="11"/>
        <v>-</v>
      </c>
      <c r="AC26" s="353">
        <f>AC25+1</f>
        <v>23</v>
      </c>
      <c r="AD26" s="354"/>
      <c r="AE26" s="83" t="str">
        <f t="shared" si="12"/>
        <v>-</v>
      </c>
      <c r="AF26" s="84"/>
      <c r="AG26" s="355" t="str">
        <f t="shared" si="13"/>
        <v>-</v>
      </c>
      <c r="AH26" s="356"/>
      <c r="AI26" s="357" t="str">
        <f t="shared" si="16"/>
        <v>-</v>
      </c>
      <c r="AJ26" s="358"/>
      <c r="AK26" s="85">
        <f t="shared" ca="1" si="1"/>
        <v>46873</v>
      </c>
      <c r="AL26" s="353">
        <v>23</v>
      </c>
      <c r="AM26" s="354"/>
      <c r="AN26" s="86" t="e">
        <f t="shared" si="2"/>
        <v>#DIV/0!</v>
      </c>
      <c r="AO26" s="87"/>
      <c r="AP26" s="359" t="e">
        <f t="shared" ca="1" si="3"/>
        <v>#DIV/0!</v>
      </c>
      <c r="AQ26" s="360"/>
      <c r="AR26" s="361" t="e">
        <f t="shared" ca="1" si="4"/>
        <v>#DIV/0!</v>
      </c>
      <c r="AS26" s="362"/>
      <c r="AT26" s="87" t="e">
        <f t="shared" ca="1" si="14"/>
        <v>#DIV/0!</v>
      </c>
      <c r="AU26" s="75" t="str">
        <f t="shared" si="5"/>
        <v>-</v>
      </c>
      <c r="AZ26" s="284">
        <v>2.5000000000000001E-3</v>
      </c>
      <c r="BB26" s="221" t="s">
        <v>516</v>
      </c>
      <c r="BC26" s="222">
        <f>BC20/12+1</f>
        <v>1</v>
      </c>
      <c r="BG26" s="246">
        <f t="shared" ca="1" si="17"/>
        <v>46873</v>
      </c>
      <c r="BH26" s="287" t="e">
        <f t="shared" si="28"/>
        <v>#VALUE!</v>
      </c>
      <c r="BI26" s="288"/>
      <c r="BJ26" s="247" t="e">
        <f t="shared" ref="BJ26:BJ33" si="32">IF($BJ$4=0,BS25,BS26)</f>
        <v>#VALUE!</v>
      </c>
      <c r="BK26" s="248"/>
      <c r="BL26" s="251" t="e">
        <f t="shared" ref="BL26:BL33" si="33">IF($AE$4=0,BR25,BR26)</f>
        <v>#VALUE!</v>
      </c>
      <c r="BM26" s="248"/>
      <c r="BN26" s="249" t="e">
        <f t="shared" si="20"/>
        <v>#VALUE!</v>
      </c>
      <c r="BO26" s="250"/>
      <c r="BQ26" s="53" t="e">
        <f t="shared" si="6"/>
        <v>#VALUE!</v>
      </c>
      <c r="BR26" s="233" t="e">
        <f t="shared" si="7"/>
        <v>#VALUE!</v>
      </c>
      <c r="BS26" s="245" t="e">
        <f t="shared" si="8"/>
        <v>#VALUE!</v>
      </c>
      <c r="BT26" s="245" t="e">
        <f t="shared" si="9"/>
        <v>#DIV/0!</v>
      </c>
      <c r="BU26" s="280" t="e">
        <f t="shared" si="25"/>
        <v>#VALUE!</v>
      </c>
    </row>
    <row r="27" spans="1:73" ht="13.95" customHeight="1" thickBot="1" x14ac:dyDescent="0.35">
      <c r="A27" s="43"/>
      <c r="B27" s="314">
        <v>3</v>
      </c>
      <c r="C27" s="314"/>
      <c r="D27" s="205" t="e">
        <f t="shared" si="29"/>
        <v>#VALUE!</v>
      </c>
      <c r="E27" s="313" t="e">
        <f t="shared" si="30"/>
        <v>#VALUE!</v>
      </c>
      <c r="F27" s="313"/>
      <c r="G27" s="313" t="e">
        <f t="shared" si="31"/>
        <v>#VALUE!</v>
      </c>
      <c r="H27" s="313"/>
      <c r="I27" s="202"/>
      <c r="J27" s="53"/>
      <c r="K27" s="54"/>
      <c r="L27" s="265"/>
      <c r="M27" s="348"/>
      <c r="N27" s="413"/>
      <c r="O27" s="125"/>
      <c r="Q27" s="122"/>
      <c r="R27" s="121">
        <v>44166</v>
      </c>
      <c r="S27" s="122">
        <v>2270</v>
      </c>
      <c r="T27" s="123"/>
      <c r="U27" s="123"/>
      <c r="V27" s="123"/>
      <c r="W27" s="124"/>
      <c r="X27" s="92">
        <v>8</v>
      </c>
      <c r="Y27" s="92">
        <v>31</v>
      </c>
      <c r="AA27" s="196" t="str">
        <f>IFERROR(AI27+Z28,"-")</f>
        <v>-</v>
      </c>
      <c r="AB27" s="185" t="str">
        <f t="shared" si="11"/>
        <v>-</v>
      </c>
      <c r="AC27" s="353">
        <f>AC26+1</f>
        <v>24</v>
      </c>
      <c r="AD27" s="354"/>
      <c r="AE27" s="83" t="str">
        <f t="shared" si="12"/>
        <v>-</v>
      </c>
      <c r="AF27" s="84"/>
      <c r="AG27" s="355" t="str">
        <f t="shared" si="13"/>
        <v>-</v>
      </c>
      <c r="AH27" s="356"/>
      <c r="AI27" s="357" t="str">
        <f t="shared" si="16"/>
        <v>-</v>
      </c>
      <c r="AJ27" s="358"/>
      <c r="AK27" s="85">
        <f t="shared" ca="1" si="1"/>
        <v>46904</v>
      </c>
      <c r="AL27" s="353">
        <v>24</v>
      </c>
      <c r="AM27" s="354"/>
      <c r="AN27" s="86" t="e">
        <f t="shared" si="2"/>
        <v>#DIV/0!</v>
      </c>
      <c r="AO27" s="87"/>
      <c r="AP27" s="359" t="e">
        <f t="shared" ca="1" si="3"/>
        <v>#DIV/0!</v>
      </c>
      <c r="AQ27" s="360"/>
      <c r="AR27" s="361" t="e">
        <f t="shared" ca="1" si="4"/>
        <v>#DIV/0!</v>
      </c>
      <c r="AS27" s="362"/>
      <c r="AT27" s="87" t="e">
        <f t="shared" ca="1" si="14"/>
        <v>#DIV/0!</v>
      </c>
      <c r="AU27" s="75" t="str">
        <f t="shared" si="5"/>
        <v>-</v>
      </c>
      <c r="AZ27" s="284">
        <v>2.5999999999999999E-3</v>
      </c>
      <c r="BB27" s="223" t="s">
        <v>517</v>
      </c>
      <c r="BC27" s="224" t="e">
        <f>BC21/12+1</f>
        <v>#VALUE!</v>
      </c>
      <c r="BG27" s="246">
        <f t="shared" ca="1" si="17"/>
        <v>46904</v>
      </c>
      <c r="BH27" s="287" t="e">
        <f t="shared" si="28"/>
        <v>#VALUE!</v>
      </c>
      <c r="BI27" s="288"/>
      <c r="BJ27" s="247" t="e">
        <f t="shared" si="32"/>
        <v>#VALUE!</v>
      </c>
      <c r="BK27" s="248"/>
      <c r="BL27" s="251" t="e">
        <f t="shared" si="33"/>
        <v>#VALUE!</v>
      </c>
      <c r="BM27" s="248"/>
      <c r="BN27" s="249" t="e">
        <f t="shared" si="20"/>
        <v>#VALUE!</v>
      </c>
      <c r="BO27" s="250"/>
      <c r="BQ27" s="53" t="e">
        <f t="shared" si="6"/>
        <v>#VALUE!</v>
      </c>
      <c r="BR27" s="233" t="e">
        <f t="shared" si="7"/>
        <v>#VALUE!</v>
      </c>
      <c r="BS27" s="245" t="e">
        <f t="shared" si="8"/>
        <v>#VALUE!</v>
      </c>
      <c r="BT27" s="245" t="e">
        <f t="shared" si="9"/>
        <v>#DIV/0!</v>
      </c>
      <c r="BU27" s="280" t="str">
        <f>IFERROR(BN27+Z28,"-")</f>
        <v>-</v>
      </c>
    </row>
    <row r="28" spans="1:73" ht="13.95" customHeight="1" thickBot="1" x14ac:dyDescent="0.35">
      <c r="A28" s="43"/>
      <c r="B28" s="314">
        <v>4</v>
      </c>
      <c r="C28" s="314"/>
      <c r="D28" s="205" t="e">
        <f t="shared" si="29"/>
        <v>#VALUE!</v>
      </c>
      <c r="E28" s="313" t="e">
        <f t="shared" si="30"/>
        <v>#VALUE!</v>
      </c>
      <c r="F28" s="313"/>
      <c r="G28" s="313" t="e">
        <f t="shared" si="31"/>
        <v>#VALUE!</v>
      </c>
      <c r="H28" s="313"/>
      <c r="I28" s="202"/>
      <c r="J28" s="53"/>
      <c r="K28" s="54"/>
      <c r="L28" s="54"/>
      <c r="M28" s="349"/>
      <c r="N28" s="414"/>
      <c r="O28" s="125"/>
      <c r="R28" s="191">
        <v>46023</v>
      </c>
      <c r="S28" s="92">
        <v>3328</v>
      </c>
      <c r="T28" s="123"/>
      <c r="U28" s="123"/>
      <c r="V28" s="123"/>
      <c r="W28" s="124"/>
      <c r="X28" s="92">
        <v>9</v>
      </c>
      <c r="Y28" s="92">
        <v>30</v>
      </c>
      <c r="Z28" s="116">
        <f>IF($V$26&gt;AC28,$E$4*0.9*0.9*$T$33,0)</f>
        <v>0</v>
      </c>
      <c r="AA28" s="196" t="str">
        <f t="shared" si="0"/>
        <v>-</v>
      </c>
      <c r="AB28" s="185" t="str">
        <f t="shared" si="11"/>
        <v>-</v>
      </c>
      <c r="AC28" s="353">
        <f t="shared" ref="AC28:AC78" si="34">AC27+1</f>
        <v>25</v>
      </c>
      <c r="AD28" s="354"/>
      <c r="AE28" s="83" t="str">
        <f t="shared" si="12"/>
        <v>-</v>
      </c>
      <c r="AF28" s="84"/>
      <c r="AG28" s="355" t="str">
        <f t="shared" si="13"/>
        <v>-</v>
      </c>
      <c r="AH28" s="356"/>
      <c r="AI28" s="357" t="str">
        <f t="shared" si="16"/>
        <v>-</v>
      </c>
      <c r="AJ28" s="358"/>
      <c r="AK28" s="85">
        <f t="shared" ca="1" si="1"/>
        <v>46934</v>
      </c>
      <c r="AL28" s="353">
        <v>25</v>
      </c>
      <c r="AM28" s="354"/>
      <c r="AN28" s="86" t="e">
        <f t="shared" si="2"/>
        <v>#DIV/0!</v>
      </c>
      <c r="AO28" s="87"/>
      <c r="AP28" s="359" t="e">
        <f t="shared" ca="1" si="3"/>
        <v>#DIV/0!</v>
      </c>
      <c r="AQ28" s="360"/>
      <c r="AR28" s="361" t="e">
        <f t="shared" ca="1" si="4"/>
        <v>#DIV/0!</v>
      </c>
      <c r="AS28" s="362"/>
      <c r="AT28" s="87" t="e">
        <f t="shared" ca="1" si="14"/>
        <v>#DIV/0!</v>
      </c>
      <c r="AU28" s="75" t="e">
        <f>AI28+AW28+AX28</f>
        <v>#VALUE!</v>
      </c>
      <c r="AW28" s="63" t="str">
        <f>IF($E$12&gt;$R$3,$E$4*0.9*0.9*5.5%,"")</f>
        <v/>
      </c>
      <c r="AX28" s="63" t="e">
        <f>IF(#REF!=0,0,IF($E$12&gt;$R$3,(AE90-SUM(AE4:AE27))*0.0299,""))</f>
        <v>#REF!</v>
      </c>
      <c r="AZ28" s="284">
        <v>2.7000000000000001E-3</v>
      </c>
      <c r="BB28" s="225" t="s">
        <v>518</v>
      </c>
      <c r="BC28" s="226" t="e">
        <f>(BC27-1)*BC27^BC24/(BC27^BC24-1)</f>
        <v>#VALUE!</v>
      </c>
      <c r="BG28" s="246">
        <f t="shared" ca="1" si="17"/>
        <v>46934</v>
      </c>
      <c r="BH28" s="287" t="e">
        <f t="shared" si="28"/>
        <v>#VALUE!</v>
      </c>
      <c r="BI28" s="288"/>
      <c r="BJ28" s="247" t="e">
        <f t="shared" si="32"/>
        <v>#VALUE!</v>
      </c>
      <c r="BK28" s="248"/>
      <c r="BL28" s="251" t="e">
        <f t="shared" si="33"/>
        <v>#VALUE!</v>
      </c>
      <c r="BM28" s="248"/>
      <c r="BN28" s="249" t="e">
        <f t="shared" si="20"/>
        <v>#VALUE!</v>
      </c>
      <c r="BO28" s="250"/>
      <c r="BQ28" s="53" t="e">
        <f t="shared" si="6"/>
        <v>#VALUE!</v>
      </c>
      <c r="BR28" s="233" t="e">
        <f>IF(BH28&lt;=$BC$23,($BC$20/12)*BT27,($BC$21/12)*BT27)</f>
        <v>#VALUE!</v>
      </c>
      <c r="BS28" s="245" t="e">
        <f t="shared" si="8"/>
        <v>#VALUE!</v>
      </c>
      <c r="BT28" s="245" t="e">
        <f t="shared" si="9"/>
        <v>#DIV/0!</v>
      </c>
      <c r="BU28" s="280" t="e">
        <f t="shared" si="25"/>
        <v>#VALUE!</v>
      </c>
    </row>
    <row r="29" spans="1:73" ht="13.95" customHeight="1" thickBot="1" x14ac:dyDescent="0.35">
      <c r="A29" s="43"/>
      <c r="B29" s="314">
        <v>5</v>
      </c>
      <c r="C29" s="314"/>
      <c r="D29" s="205" t="e">
        <f t="shared" si="29"/>
        <v>#VALUE!</v>
      </c>
      <c r="E29" s="313" t="e">
        <f t="shared" si="30"/>
        <v>#VALUE!</v>
      </c>
      <c r="F29" s="313"/>
      <c r="G29" s="313" t="e">
        <f t="shared" si="31"/>
        <v>#VALUE!</v>
      </c>
      <c r="H29" s="313"/>
      <c r="I29" s="202"/>
      <c r="J29" s="53"/>
      <c r="K29" s="54"/>
      <c r="L29" s="54"/>
      <c r="M29" s="270"/>
      <c r="N29" s="271"/>
      <c r="O29" s="125"/>
      <c r="T29" s="123"/>
      <c r="U29" s="123"/>
      <c r="V29" s="123"/>
      <c r="W29" s="124"/>
      <c r="X29" s="92">
        <v>10</v>
      </c>
      <c r="Y29" s="92">
        <v>31</v>
      </c>
      <c r="AA29" s="196" t="str">
        <f t="shared" si="0"/>
        <v>-</v>
      </c>
      <c r="AB29" s="185" t="str">
        <f t="shared" si="11"/>
        <v>-</v>
      </c>
      <c r="AC29" s="353">
        <f t="shared" si="34"/>
        <v>26</v>
      </c>
      <c r="AD29" s="354"/>
      <c r="AE29" s="83" t="str">
        <f t="shared" si="12"/>
        <v>-</v>
      </c>
      <c r="AF29" s="84"/>
      <c r="AG29" s="355" t="str">
        <f t="shared" si="13"/>
        <v>-</v>
      </c>
      <c r="AH29" s="356"/>
      <c r="AI29" s="357" t="str">
        <f t="shared" si="16"/>
        <v>-</v>
      </c>
      <c r="AJ29" s="358"/>
      <c r="AK29" s="85">
        <f t="shared" ca="1" si="1"/>
        <v>46965</v>
      </c>
      <c r="AL29" s="353">
        <v>26</v>
      </c>
      <c r="AM29" s="354"/>
      <c r="AN29" s="86" t="e">
        <f t="shared" si="2"/>
        <v>#DIV/0!</v>
      </c>
      <c r="AO29" s="87"/>
      <c r="AP29" s="359" t="e">
        <f t="shared" ca="1" si="3"/>
        <v>#DIV/0!</v>
      </c>
      <c r="AQ29" s="360"/>
      <c r="AR29" s="361" t="e">
        <f t="shared" ca="1" si="4"/>
        <v>#DIV/0!</v>
      </c>
      <c r="AS29" s="362"/>
      <c r="AT29" s="87" t="e">
        <f t="shared" ca="1" si="14"/>
        <v>#DIV/0!</v>
      </c>
      <c r="AU29" s="75" t="str">
        <f t="shared" si="5"/>
        <v>-</v>
      </c>
      <c r="AZ29" s="284">
        <v>2.8E-3</v>
      </c>
      <c r="BB29" s="225" t="s">
        <v>519</v>
      </c>
      <c r="BC29" s="227" t="e">
        <f>(BC26^BC23*(BC26-1))/(BC26-1+BC28*(BC26^BC23-1))</f>
        <v>#VALUE!</v>
      </c>
      <c r="BG29" s="246">
        <f t="shared" ca="1" si="17"/>
        <v>46965</v>
      </c>
      <c r="BH29" s="287" t="e">
        <f t="shared" ref="BH29:BH61" si="35">IF($E$12&gt;=BH28,BH28+1,"")</f>
        <v>#VALUE!</v>
      </c>
      <c r="BI29" s="288"/>
      <c r="BJ29" s="247" t="e">
        <f t="shared" si="32"/>
        <v>#VALUE!</v>
      </c>
      <c r="BK29" s="248"/>
      <c r="BL29" s="251" t="e">
        <f t="shared" si="33"/>
        <v>#VALUE!</v>
      </c>
      <c r="BM29" s="248"/>
      <c r="BN29" s="249" t="e">
        <f t="shared" si="20"/>
        <v>#VALUE!</v>
      </c>
      <c r="BO29" s="250"/>
      <c r="BQ29" s="53" t="e">
        <f t="shared" si="6"/>
        <v>#VALUE!</v>
      </c>
      <c r="BR29" s="233" t="e">
        <f t="shared" si="7"/>
        <v>#VALUE!</v>
      </c>
      <c r="BS29" s="245" t="e">
        <f t="shared" si="8"/>
        <v>#VALUE!</v>
      </c>
      <c r="BT29" s="245" t="e">
        <f t="shared" si="9"/>
        <v>#DIV/0!</v>
      </c>
      <c r="BU29" s="280" t="e">
        <f t="shared" si="25"/>
        <v>#VALUE!</v>
      </c>
    </row>
    <row r="30" spans="1:73" ht="13.95" customHeight="1" thickBot="1" x14ac:dyDescent="0.35">
      <c r="A30" s="43"/>
      <c r="B30" s="314">
        <v>6</v>
      </c>
      <c r="C30" s="314"/>
      <c r="D30" s="205" t="e">
        <f t="shared" si="29"/>
        <v>#VALUE!</v>
      </c>
      <c r="E30" s="313" t="e">
        <f t="shared" si="30"/>
        <v>#VALUE!</v>
      </c>
      <c r="F30" s="313"/>
      <c r="G30" s="313" t="e">
        <f t="shared" si="31"/>
        <v>#VALUE!</v>
      </c>
      <c r="H30" s="313"/>
      <c r="I30" s="202"/>
      <c r="J30" s="53"/>
      <c r="K30" s="54"/>
      <c r="L30" s="54"/>
      <c r="M30" s="347" t="str">
        <f>IF($N$24="так","Пільгова ставка (%)","")</f>
        <v/>
      </c>
      <c r="N30" s="409" t="str">
        <f>IF($N$24="так",BC20,"")</f>
        <v/>
      </c>
      <c r="O30" s="125"/>
      <c r="T30" s="123"/>
      <c r="U30" s="123"/>
      <c r="V30" s="123"/>
      <c r="W30" s="124"/>
      <c r="X30" s="92">
        <v>11</v>
      </c>
      <c r="Y30" s="92">
        <v>30</v>
      </c>
      <c r="AA30" s="196" t="str">
        <f t="shared" si="0"/>
        <v>-</v>
      </c>
      <c r="AB30" s="185" t="str">
        <f t="shared" si="11"/>
        <v>-</v>
      </c>
      <c r="AC30" s="353">
        <f t="shared" si="34"/>
        <v>27</v>
      </c>
      <c r="AD30" s="354"/>
      <c r="AE30" s="83" t="str">
        <f t="shared" si="12"/>
        <v>-</v>
      </c>
      <c r="AF30" s="84"/>
      <c r="AG30" s="355" t="str">
        <f t="shared" si="13"/>
        <v>-</v>
      </c>
      <c r="AH30" s="356"/>
      <c r="AI30" s="357" t="str">
        <f t="shared" si="16"/>
        <v>-</v>
      </c>
      <c r="AJ30" s="358"/>
      <c r="AK30" s="85">
        <f t="shared" ca="1" si="1"/>
        <v>46996</v>
      </c>
      <c r="AL30" s="353">
        <v>27</v>
      </c>
      <c r="AM30" s="354"/>
      <c r="AN30" s="86" t="e">
        <f t="shared" si="2"/>
        <v>#DIV/0!</v>
      </c>
      <c r="AO30" s="87"/>
      <c r="AP30" s="359" t="e">
        <f t="shared" ca="1" si="3"/>
        <v>#DIV/0!</v>
      </c>
      <c r="AQ30" s="360"/>
      <c r="AR30" s="361" t="e">
        <f t="shared" ca="1" si="4"/>
        <v>#DIV/0!</v>
      </c>
      <c r="AS30" s="362"/>
      <c r="AT30" s="87" t="e">
        <f t="shared" ca="1" si="14"/>
        <v>#DIV/0!</v>
      </c>
      <c r="AU30" s="75" t="str">
        <f t="shared" si="5"/>
        <v>-</v>
      </c>
      <c r="AZ30" s="284">
        <v>2.8999999999999998E-3</v>
      </c>
      <c r="BB30" s="228" t="s">
        <v>520</v>
      </c>
      <c r="BC30" s="229" t="e">
        <f>BC29*BC19*BC28</f>
        <v>#VALUE!</v>
      </c>
      <c r="BG30" s="246">
        <f t="shared" ca="1" si="17"/>
        <v>46996</v>
      </c>
      <c r="BH30" s="287" t="e">
        <f t="shared" si="35"/>
        <v>#VALUE!</v>
      </c>
      <c r="BI30" s="288"/>
      <c r="BJ30" s="247" t="e">
        <f t="shared" si="32"/>
        <v>#VALUE!</v>
      </c>
      <c r="BK30" s="248"/>
      <c r="BL30" s="251" t="e">
        <f t="shared" si="33"/>
        <v>#VALUE!</v>
      </c>
      <c r="BM30" s="248"/>
      <c r="BN30" s="249" t="e">
        <f t="shared" si="20"/>
        <v>#VALUE!</v>
      </c>
      <c r="BO30" s="250"/>
      <c r="BQ30" s="53" t="e">
        <f t="shared" si="6"/>
        <v>#VALUE!</v>
      </c>
      <c r="BR30" s="233" t="e">
        <f t="shared" si="7"/>
        <v>#VALUE!</v>
      </c>
      <c r="BS30" s="245" t="e">
        <f t="shared" si="8"/>
        <v>#VALUE!</v>
      </c>
      <c r="BT30" s="245" t="e">
        <f t="shared" si="9"/>
        <v>#DIV/0!</v>
      </c>
      <c r="BU30" s="280" t="e">
        <f t="shared" si="25"/>
        <v>#VALUE!</v>
      </c>
    </row>
    <row r="31" spans="1:73" ht="13.95" customHeight="1" thickBot="1" x14ac:dyDescent="0.35">
      <c r="A31" s="43"/>
      <c r="B31" s="314">
        <v>7</v>
      </c>
      <c r="C31" s="314"/>
      <c r="D31" s="205" t="e">
        <f t="shared" si="29"/>
        <v>#VALUE!</v>
      </c>
      <c r="E31" s="313" t="e">
        <f t="shared" si="30"/>
        <v>#VALUE!</v>
      </c>
      <c r="F31" s="313"/>
      <c r="G31" s="313" t="e">
        <f t="shared" si="31"/>
        <v>#VALUE!</v>
      </c>
      <c r="H31" s="313"/>
      <c r="I31" s="202"/>
      <c r="J31" s="53"/>
      <c r="K31" s="54"/>
      <c r="L31" s="54"/>
      <c r="M31" s="348"/>
      <c r="N31" s="410"/>
      <c r="O31" s="125"/>
      <c r="T31" s="123"/>
      <c r="U31" s="123"/>
      <c r="V31" s="123"/>
      <c r="W31" s="124"/>
      <c r="X31" s="92">
        <v>12</v>
      </c>
      <c r="Y31" s="92">
        <v>31</v>
      </c>
      <c r="AA31" s="196" t="str">
        <f t="shared" si="0"/>
        <v>-</v>
      </c>
      <c r="AB31" s="185" t="str">
        <f t="shared" si="11"/>
        <v>-</v>
      </c>
      <c r="AC31" s="353">
        <f t="shared" si="34"/>
        <v>28</v>
      </c>
      <c r="AD31" s="354"/>
      <c r="AE31" s="83" t="str">
        <f t="shared" si="12"/>
        <v>-</v>
      </c>
      <c r="AF31" s="84"/>
      <c r="AG31" s="355" t="str">
        <f t="shared" si="13"/>
        <v>-</v>
      </c>
      <c r="AH31" s="356"/>
      <c r="AI31" s="357" t="str">
        <f t="shared" si="16"/>
        <v>-</v>
      </c>
      <c r="AJ31" s="358"/>
      <c r="AK31" s="85">
        <f t="shared" ca="1" si="1"/>
        <v>47026</v>
      </c>
      <c r="AL31" s="353">
        <v>28</v>
      </c>
      <c r="AM31" s="354"/>
      <c r="AN31" s="86" t="e">
        <f t="shared" si="2"/>
        <v>#DIV/0!</v>
      </c>
      <c r="AO31" s="87"/>
      <c r="AP31" s="359" t="e">
        <f t="shared" ca="1" si="3"/>
        <v>#DIV/0!</v>
      </c>
      <c r="AQ31" s="360"/>
      <c r="AR31" s="361" t="e">
        <f t="shared" ca="1" si="4"/>
        <v>#DIV/0!</v>
      </c>
      <c r="AS31" s="362"/>
      <c r="AT31" s="87" t="e">
        <f t="shared" ca="1" si="14"/>
        <v>#DIV/0!</v>
      </c>
      <c r="AU31" s="75" t="str">
        <f t="shared" si="5"/>
        <v>-</v>
      </c>
      <c r="AZ31" s="284">
        <v>3.0000000000000001E-3</v>
      </c>
      <c r="BG31" s="246">
        <f t="shared" ca="1" si="17"/>
        <v>47026</v>
      </c>
      <c r="BH31" s="287" t="e">
        <f t="shared" si="35"/>
        <v>#VALUE!</v>
      </c>
      <c r="BI31" s="288"/>
      <c r="BJ31" s="247" t="e">
        <f t="shared" si="32"/>
        <v>#VALUE!</v>
      </c>
      <c r="BK31" s="248"/>
      <c r="BL31" s="251" t="e">
        <f t="shared" si="33"/>
        <v>#VALUE!</v>
      </c>
      <c r="BM31" s="248"/>
      <c r="BN31" s="249" t="e">
        <f t="shared" si="20"/>
        <v>#VALUE!</v>
      </c>
      <c r="BO31" s="250"/>
      <c r="BQ31" s="53" t="e">
        <f t="shared" si="6"/>
        <v>#VALUE!</v>
      </c>
      <c r="BR31" s="233" t="e">
        <f>IF(BH31&lt;=$BC$23,($BC$20/12)*BT30,($BC$21/12)*BT30)</f>
        <v>#VALUE!</v>
      </c>
      <c r="BS31" s="245" t="e">
        <f t="shared" si="8"/>
        <v>#VALUE!</v>
      </c>
      <c r="BT31" s="245" t="e">
        <f t="shared" si="9"/>
        <v>#DIV/0!</v>
      </c>
      <c r="BU31" s="280" t="e">
        <f t="shared" si="25"/>
        <v>#VALUE!</v>
      </c>
    </row>
    <row r="32" spans="1:73" ht="13.95" customHeight="1" thickBot="1" x14ac:dyDescent="0.35">
      <c r="A32" s="43"/>
      <c r="B32" s="314">
        <v>8</v>
      </c>
      <c r="C32" s="314"/>
      <c r="D32" s="205" t="e">
        <f t="shared" si="29"/>
        <v>#VALUE!</v>
      </c>
      <c r="E32" s="313" t="e">
        <f t="shared" si="30"/>
        <v>#VALUE!</v>
      </c>
      <c r="F32" s="313"/>
      <c r="G32" s="313" t="e">
        <f t="shared" si="31"/>
        <v>#VALUE!</v>
      </c>
      <c r="H32" s="313"/>
      <c r="I32" s="202"/>
      <c r="J32" s="53"/>
      <c r="K32" s="54"/>
      <c r="L32" s="54"/>
      <c r="M32" s="349"/>
      <c r="N32" s="411"/>
      <c r="O32" s="125"/>
      <c r="Q32" s="126" t="s">
        <v>446</v>
      </c>
      <c r="R32" s="127" t="s">
        <v>476</v>
      </c>
      <c r="S32" s="188" t="s">
        <v>501</v>
      </c>
      <c r="T32" s="188" t="s">
        <v>488</v>
      </c>
      <c r="U32" s="187" t="s">
        <v>489</v>
      </c>
      <c r="V32" s="123"/>
      <c r="W32" s="124"/>
      <c r="AA32" s="196" t="str">
        <f t="shared" si="0"/>
        <v>-</v>
      </c>
      <c r="AB32" s="185" t="str">
        <f t="shared" si="11"/>
        <v>-</v>
      </c>
      <c r="AC32" s="353">
        <f t="shared" si="34"/>
        <v>29</v>
      </c>
      <c r="AD32" s="354"/>
      <c r="AE32" s="83" t="str">
        <f t="shared" si="12"/>
        <v>-</v>
      </c>
      <c r="AF32" s="84"/>
      <c r="AG32" s="355" t="str">
        <f t="shared" si="13"/>
        <v>-</v>
      </c>
      <c r="AH32" s="356"/>
      <c r="AI32" s="357" t="str">
        <f t="shared" si="16"/>
        <v>-</v>
      </c>
      <c r="AJ32" s="358"/>
      <c r="AK32" s="85">
        <f t="shared" ca="1" si="1"/>
        <v>47057</v>
      </c>
      <c r="AL32" s="353">
        <v>29</v>
      </c>
      <c r="AM32" s="354"/>
      <c r="AN32" s="86" t="e">
        <f t="shared" si="2"/>
        <v>#DIV/0!</v>
      </c>
      <c r="AO32" s="87"/>
      <c r="AP32" s="359" t="e">
        <f t="shared" ca="1" si="3"/>
        <v>#DIV/0!</v>
      </c>
      <c r="AQ32" s="360"/>
      <c r="AR32" s="361" t="e">
        <f t="shared" ca="1" si="4"/>
        <v>#DIV/0!</v>
      </c>
      <c r="AS32" s="362"/>
      <c r="AT32" s="87" t="e">
        <f t="shared" ca="1" si="14"/>
        <v>#DIV/0!</v>
      </c>
      <c r="AU32" s="75" t="str">
        <f t="shared" si="5"/>
        <v>-</v>
      </c>
      <c r="AZ32" s="284">
        <v>3.0999999999999999E-3</v>
      </c>
      <c r="BG32" s="246">
        <f t="shared" ca="1" si="17"/>
        <v>47057</v>
      </c>
      <c r="BH32" s="287" t="e">
        <f t="shared" si="35"/>
        <v>#VALUE!</v>
      </c>
      <c r="BI32" s="288"/>
      <c r="BJ32" s="247" t="e">
        <f t="shared" si="32"/>
        <v>#VALUE!</v>
      </c>
      <c r="BK32" s="248"/>
      <c r="BL32" s="251" t="e">
        <f t="shared" si="33"/>
        <v>#VALUE!</v>
      </c>
      <c r="BM32" s="248"/>
      <c r="BN32" s="249" t="e">
        <f t="shared" si="20"/>
        <v>#VALUE!</v>
      </c>
      <c r="BO32" s="250"/>
      <c r="BQ32" s="53" t="e">
        <f t="shared" si="6"/>
        <v>#VALUE!</v>
      </c>
      <c r="BR32" s="233" t="e">
        <f t="shared" si="7"/>
        <v>#VALUE!</v>
      </c>
      <c r="BS32" s="245" t="e">
        <f t="shared" si="8"/>
        <v>#VALUE!</v>
      </c>
      <c r="BT32" s="245" t="e">
        <f t="shared" si="9"/>
        <v>#DIV/0!</v>
      </c>
      <c r="BU32" s="280" t="e">
        <f t="shared" si="25"/>
        <v>#VALUE!</v>
      </c>
    </row>
    <row r="33" spans="1:73" ht="13.95" customHeight="1" thickBot="1" x14ac:dyDescent="0.35">
      <c r="A33" s="43"/>
      <c r="B33" s="314">
        <v>9</v>
      </c>
      <c r="C33" s="314"/>
      <c r="D33" s="205" t="e">
        <f t="shared" si="29"/>
        <v>#VALUE!</v>
      </c>
      <c r="E33" s="313" t="e">
        <f t="shared" si="30"/>
        <v>#VALUE!</v>
      </c>
      <c r="F33" s="313"/>
      <c r="G33" s="313" t="e">
        <f t="shared" si="31"/>
        <v>#VALUE!</v>
      </c>
      <c r="H33" s="313"/>
      <c r="I33" s="202"/>
      <c r="J33" s="53"/>
      <c r="K33" s="54"/>
      <c r="L33" s="54"/>
      <c r="M33" s="54"/>
      <c r="N33" s="54"/>
      <c r="O33" s="125"/>
      <c r="Q33" s="126" t="s">
        <v>447</v>
      </c>
      <c r="R33" s="146">
        <f>Калькулятор!N6</f>
        <v>0</v>
      </c>
      <c r="S33" s="189">
        <f>Калькулятор!O40/100</f>
        <v>0</v>
      </c>
      <c r="T33" s="190">
        <f>M8</f>
        <v>6.7900000000000002E-2</v>
      </c>
      <c r="U33" s="128">
        <v>750</v>
      </c>
      <c r="V33" s="123"/>
      <c r="W33" s="124"/>
      <c r="AA33" s="196" t="str">
        <f t="shared" si="0"/>
        <v>-</v>
      </c>
      <c r="AB33" s="185" t="str">
        <f t="shared" si="11"/>
        <v>-</v>
      </c>
      <c r="AC33" s="353">
        <f t="shared" si="34"/>
        <v>30</v>
      </c>
      <c r="AD33" s="354"/>
      <c r="AE33" s="83" t="str">
        <f t="shared" si="12"/>
        <v>-</v>
      </c>
      <c r="AF33" s="84"/>
      <c r="AG33" s="355" t="str">
        <f t="shared" si="13"/>
        <v>-</v>
      </c>
      <c r="AH33" s="356"/>
      <c r="AI33" s="357" t="str">
        <f t="shared" si="16"/>
        <v>-</v>
      </c>
      <c r="AJ33" s="358"/>
      <c r="AK33" s="85">
        <f t="shared" ca="1" si="1"/>
        <v>47087</v>
      </c>
      <c r="AL33" s="353">
        <v>30</v>
      </c>
      <c r="AM33" s="354"/>
      <c r="AN33" s="86" t="e">
        <f t="shared" si="2"/>
        <v>#DIV/0!</v>
      </c>
      <c r="AO33" s="87"/>
      <c r="AP33" s="359" t="e">
        <f t="shared" ca="1" si="3"/>
        <v>#DIV/0!</v>
      </c>
      <c r="AQ33" s="360"/>
      <c r="AR33" s="361" t="e">
        <f t="shared" ca="1" si="4"/>
        <v>#DIV/0!</v>
      </c>
      <c r="AS33" s="362"/>
      <c r="AT33" s="87" t="e">
        <f t="shared" ca="1" si="14"/>
        <v>#DIV/0!</v>
      </c>
      <c r="AU33" s="75" t="str">
        <f t="shared" si="5"/>
        <v>-</v>
      </c>
      <c r="AZ33" s="284">
        <v>3.2000000000000002E-3</v>
      </c>
      <c r="BG33" s="246">
        <f t="shared" ca="1" si="17"/>
        <v>47087</v>
      </c>
      <c r="BH33" s="287" t="e">
        <f t="shared" si="35"/>
        <v>#VALUE!</v>
      </c>
      <c r="BI33" s="288"/>
      <c r="BJ33" s="247" t="e">
        <f t="shared" si="32"/>
        <v>#VALUE!</v>
      </c>
      <c r="BK33" s="248"/>
      <c r="BL33" s="251" t="e">
        <f t="shared" si="33"/>
        <v>#VALUE!</v>
      </c>
      <c r="BM33" s="248"/>
      <c r="BN33" s="249" t="e">
        <f t="shared" si="20"/>
        <v>#VALUE!</v>
      </c>
      <c r="BO33" s="250"/>
      <c r="BQ33" s="53" t="e">
        <f t="shared" si="6"/>
        <v>#VALUE!</v>
      </c>
      <c r="BR33" s="233" t="e">
        <f t="shared" si="7"/>
        <v>#VALUE!</v>
      </c>
      <c r="BS33" s="245" t="e">
        <f t="shared" si="8"/>
        <v>#VALUE!</v>
      </c>
      <c r="BT33" s="245" t="e">
        <f t="shared" si="9"/>
        <v>#DIV/0!</v>
      </c>
      <c r="BU33" s="280" t="e">
        <f t="shared" si="25"/>
        <v>#VALUE!</v>
      </c>
    </row>
    <row r="34" spans="1:73" ht="13.95" customHeight="1" thickBot="1" x14ac:dyDescent="0.35">
      <c r="A34" s="43"/>
      <c r="B34" s="314">
        <v>10</v>
      </c>
      <c r="C34" s="314"/>
      <c r="D34" s="205" t="e">
        <f t="shared" si="29"/>
        <v>#VALUE!</v>
      </c>
      <c r="E34" s="313" t="e">
        <f t="shared" si="30"/>
        <v>#VALUE!</v>
      </c>
      <c r="F34" s="313"/>
      <c r="G34" s="313" t="e">
        <f t="shared" si="31"/>
        <v>#VALUE!</v>
      </c>
      <c r="H34" s="313"/>
      <c r="I34" s="202"/>
      <c r="J34" s="53"/>
      <c r="K34" s="54"/>
      <c r="L34" s="54"/>
      <c r="M34" s="57"/>
      <c r="N34" s="54"/>
      <c r="O34" s="125"/>
      <c r="R34" s="129"/>
      <c r="T34" s="123"/>
      <c r="U34" s="123"/>
      <c r="V34" s="123"/>
      <c r="W34" s="124"/>
      <c r="AA34" s="196" t="str">
        <f t="shared" si="0"/>
        <v>-</v>
      </c>
      <c r="AB34" s="185" t="str">
        <f t="shared" si="11"/>
        <v>-</v>
      </c>
      <c r="AC34" s="353">
        <f t="shared" si="34"/>
        <v>31</v>
      </c>
      <c r="AD34" s="354"/>
      <c r="AE34" s="83" t="str">
        <f t="shared" si="12"/>
        <v>-</v>
      </c>
      <c r="AF34" s="84"/>
      <c r="AG34" s="355" t="str">
        <f t="shared" si="13"/>
        <v>-</v>
      </c>
      <c r="AH34" s="356"/>
      <c r="AI34" s="357" t="str">
        <f t="shared" si="16"/>
        <v>-</v>
      </c>
      <c r="AJ34" s="358"/>
      <c r="AK34" s="85">
        <f t="shared" ca="1" si="1"/>
        <v>47118</v>
      </c>
      <c r="AL34" s="353">
        <v>31</v>
      </c>
      <c r="AM34" s="354"/>
      <c r="AN34" s="86" t="e">
        <f t="shared" si="2"/>
        <v>#DIV/0!</v>
      </c>
      <c r="AO34" s="87"/>
      <c r="AP34" s="359" t="e">
        <f t="shared" ca="1" si="3"/>
        <v>#DIV/0!</v>
      </c>
      <c r="AQ34" s="360"/>
      <c r="AR34" s="361" t="e">
        <f t="shared" ca="1" si="4"/>
        <v>#DIV/0!</v>
      </c>
      <c r="AS34" s="362"/>
      <c r="AT34" s="87" t="e">
        <f t="shared" ca="1" si="14"/>
        <v>#DIV/0!</v>
      </c>
      <c r="AU34" s="75" t="str">
        <f t="shared" si="5"/>
        <v>-</v>
      </c>
      <c r="AZ34" s="284">
        <v>3.3E-3</v>
      </c>
      <c r="BG34" s="246">
        <f t="shared" ca="1" si="17"/>
        <v>47118</v>
      </c>
      <c r="BH34" s="287" t="e">
        <f t="shared" si="35"/>
        <v>#VALUE!</v>
      </c>
      <c r="BI34" s="288"/>
      <c r="BJ34" s="247" t="e">
        <f>IF($BJ$4=0,BS33,BS34)</f>
        <v>#VALUE!</v>
      </c>
      <c r="BK34" s="248"/>
      <c r="BL34" s="251" t="e">
        <f>IF($AE$4=0,BR33,BR34)</f>
        <v>#VALUE!</v>
      </c>
      <c r="BM34" s="248"/>
      <c r="BN34" s="249" t="e">
        <f t="shared" si="20"/>
        <v>#VALUE!</v>
      </c>
      <c r="BO34" s="250"/>
      <c r="BQ34" s="53" t="e">
        <f t="shared" si="6"/>
        <v>#VALUE!</v>
      </c>
      <c r="BR34" s="233" t="e">
        <f t="shared" si="7"/>
        <v>#VALUE!</v>
      </c>
      <c r="BS34" s="245" t="e">
        <f t="shared" si="8"/>
        <v>#VALUE!</v>
      </c>
      <c r="BT34" s="245" t="e">
        <f t="shared" si="9"/>
        <v>#DIV/0!</v>
      </c>
      <c r="BU34" s="280" t="e">
        <f t="shared" si="25"/>
        <v>#VALUE!</v>
      </c>
    </row>
    <row r="35" spans="1:73" ht="13.95" customHeight="1" thickBot="1" x14ac:dyDescent="0.35">
      <c r="A35" s="43"/>
      <c r="B35" s="314">
        <v>11</v>
      </c>
      <c r="C35" s="314"/>
      <c r="D35" s="205" t="e">
        <f t="shared" si="29"/>
        <v>#VALUE!</v>
      </c>
      <c r="E35" s="313" t="e">
        <f t="shared" si="30"/>
        <v>#VALUE!</v>
      </c>
      <c r="F35" s="313"/>
      <c r="G35" s="313" t="e">
        <f t="shared" si="31"/>
        <v>#VALUE!</v>
      </c>
      <c r="H35" s="313"/>
      <c r="I35" s="202"/>
      <c r="J35" s="53"/>
      <c r="K35" s="54"/>
      <c r="L35" s="54"/>
      <c r="M35" s="54"/>
      <c r="N35" s="54"/>
      <c r="O35" s="125"/>
      <c r="Q35" s="192" t="s">
        <v>499</v>
      </c>
      <c r="R35" s="193" t="e">
        <f>IF(N24="так",MAX(BN4:BN87),MAX(AI4:AJ87))</f>
        <v>#VALUE!</v>
      </c>
      <c r="S35" s="63"/>
      <c r="T35" s="123"/>
      <c r="V35" s="123"/>
      <c r="W35" s="124"/>
      <c r="AA35" s="196" t="str">
        <f t="shared" si="0"/>
        <v>-</v>
      </c>
      <c r="AB35" s="185" t="str">
        <f t="shared" si="11"/>
        <v>-</v>
      </c>
      <c r="AC35" s="353">
        <f t="shared" si="34"/>
        <v>32</v>
      </c>
      <c r="AD35" s="354"/>
      <c r="AE35" s="83" t="str">
        <f t="shared" si="12"/>
        <v>-</v>
      </c>
      <c r="AF35" s="84"/>
      <c r="AG35" s="355" t="str">
        <f t="shared" si="13"/>
        <v>-</v>
      </c>
      <c r="AH35" s="356"/>
      <c r="AI35" s="357" t="str">
        <f t="shared" si="16"/>
        <v>-</v>
      </c>
      <c r="AJ35" s="358"/>
      <c r="AK35" s="85">
        <f t="shared" ca="1" si="1"/>
        <v>47149</v>
      </c>
      <c r="AL35" s="353">
        <v>32</v>
      </c>
      <c r="AM35" s="354"/>
      <c r="AN35" s="86" t="e">
        <f t="shared" si="2"/>
        <v>#DIV/0!</v>
      </c>
      <c r="AO35" s="87"/>
      <c r="AP35" s="359" t="e">
        <f t="shared" ca="1" si="3"/>
        <v>#DIV/0!</v>
      </c>
      <c r="AQ35" s="360"/>
      <c r="AR35" s="361" t="e">
        <f t="shared" ca="1" si="4"/>
        <v>#DIV/0!</v>
      </c>
      <c r="AS35" s="362"/>
      <c r="AT35" s="87" t="e">
        <f t="shared" ca="1" si="14"/>
        <v>#DIV/0!</v>
      </c>
      <c r="AU35" s="75" t="str">
        <f t="shared" si="5"/>
        <v>-</v>
      </c>
      <c r="AZ35" s="284">
        <v>3.3999999999999998E-3</v>
      </c>
      <c r="BG35" s="246">
        <f t="shared" ca="1" si="17"/>
        <v>47149</v>
      </c>
      <c r="BH35" s="287" t="e">
        <f t="shared" si="35"/>
        <v>#VALUE!</v>
      </c>
      <c r="BI35" s="288"/>
      <c r="BJ35" s="247" t="e">
        <f t="shared" ref="BJ35:BJ47" si="36">IF($BJ$4=0,BS34,BS35)</f>
        <v>#VALUE!</v>
      </c>
      <c r="BK35" s="248"/>
      <c r="BL35" s="251" t="e">
        <f t="shared" ref="BL35:BL47" si="37">IF($AE$4=0,BR34,BR35)</f>
        <v>#VALUE!</v>
      </c>
      <c r="BM35" s="248"/>
      <c r="BN35" s="249" t="e">
        <f t="shared" si="20"/>
        <v>#VALUE!</v>
      </c>
      <c r="BO35" s="250"/>
      <c r="BQ35" s="53" t="e">
        <f t="shared" si="6"/>
        <v>#VALUE!</v>
      </c>
      <c r="BR35" s="233" t="e">
        <f>IF(BH35&lt;=$BC$23,($BC$20/12)*BT34,($BC$21/12)*BT34)</f>
        <v>#VALUE!</v>
      </c>
      <c r="BS35" s="245" t="e">
        <f t="shared" si="8"/>
        <v>#VALUE!</v>
      </c>
      <c r="BT35" s="245" t="e">
        <f t="shared" si="9"/>
        <v>#DIV/0!</v>
      </c>
      <c r="BU35" s="280" t="e">
        <f t="shared" si="25"/>
        <v>#VALUE!</v>
      </c>
    </row>
    <row r="36" spans="1:73" ht="13.95" customHeight="1" thickBot="1" x14ac:dyDescent="0.35">
      <c r="A36" s="43"/>
      <c r="B36" s="314">
        <v>12</v>
      </c>
      <c r="C36" s="314"/>
      <c r="D36" s="205" t="e">
        <f t="shared" si="29"/>
        <v>#VALUE!</v>
      </c>
      <c r="E36" s="313" t="e">
        <f t="shared" si="30"/>
        <v>#VALUE!</v>
      </c>
      <c r="F36" s="313"/>
      <c r="G36" s="313" t="e">
        <f t="shared" si="31"/>
        <v>#VALUE!</v>
      </c>
      <c r="H36" s="313"/>
      <c r="I36" s="202"/>
      <c r="J36" s="53"/>
      <c r="K36" s="56"/>
      <c r="L36" s="56"/>
      <c r="M36" s="54"/>
      <c r="N36" s="54"/>
      <c r="O36" s="125"/>
      <c r="Q36" s="12" t="s">
        <v>403</v>
      </c>
      <c r="R36" s="92">
        <f>Калькулятор!N40</f>
        <v>0</v>
      </c>
      <c r="S36" s="63"/>
      <c r="T36" s="123"/>
      <c r="U36" s="123"/>
      <c r="V36" s="123"/>
      <c r="W36" s="124"/>
      <c r="AA36" s="196" t="str">
        <f t="shared" si="0"/>
        <v>-</v>
      </c>
      <c r="AB36" s="185" t="str">
        <f t="shared" si="11"/>
        <v>-</v>
      </c>
      <c r="AC36" s="353">
        <f t="shared" si="34"/>
        <v>33</v>
      </c>
      <c r="AD36" s="354"/>
      <c r="AE36" s="83" t="str">
        <f t="shared" si="12"/>
        <v>-</v>
      </c>
      <c r="AF36" s="84"/>
      <c r="AG36" s="355" t="str">
        <f t="shared" si="13"/>
        <v>-</v>
      </c>
      <c r="AH36" s="356"/>
      <c r="AI36" s="357" t="str">
        <f t="shared" si="16"/>
        <v>-</v>
      </c>
      <c r="AJ36" s="358"/>
      <c r="AK36" s="85">
        <f t="shared" ca="1" si="1"/>
        <v>47177</v>
      </c>
      <c r="AL36" s="353">
        <v>33</v>
      </c>
      <c r="AM36" s="354"/>
      <c r="AN36" s="86" t="e">
        <f t="shared" si="2"/>
        <v>#DIV/0!</v>
      </c>
      <c r="AO36" s="87"/>
      <c r="AP36" s="359" t="e">
        <f t="shared" ca="1" si="3"/>
        <v>#DIV/0!</v>
      </c>
      <c r="AQ36" s="360"/>
      <c r="AR36" s="361" t="e">
        <f t="shared" ca="1" si="4"/>
        <v>#DIV/0!</v>
      </c>
      <c r="AS36" s="362"/>
      <c r="AT36" s="87" t="e">
        <f t="shared" ca="1" si="14"/>
        <v>#DIV/0!</v>
      </c>
      <c r="AU36" s="75" t="str">
        <f t="shared" si="5"/>
        <v>-</v>
      </c>
      <c r="AZ36" s="284">
        <v>3.5000000000000001E-3</v>
      </c>
      <c r="BG36" s="246">
        <f t="shared" ca="1" si="17"/>
        <v>47177</v>
      </c>
      <c r="BH36" s="287" t="e">
        <f t="shared" si="35"/>
        <v>#VALUE!</v>
      </c>
      <c r="BI36" s="288"/>
      <c r="BJ36" s="247" t="e">
        <f t="shared" si="36"/>
        <v>#VALUE!</v>
      </c>
      <c r="BK36" s="248"/>
      <c r="BL36" s="251" t="e">
        <f t="shared" si="37"/>
        <v>#VALUE!</v>
      </c>
      <c r="BM36" s="248"/>
      <c r="BN36" s="249" t="e">
        <f t="shared" si="20"/>
        <v>#VALUE!</v>
      </c>
      <c r="BO36" s="250"/>
      <c r="BQ36" s="53" t="e">
        <f t="shared" si="6"/>
        <v>#VALUE!</v>
      </c>
      <c r="BR36" s="233" t="e">
        <f t="shared" si="7"/>
        <v>#VALUE!</v>
      </c>
      <c r="BS36" s="245" t="e">
        <f t="shared" si="8"/>
        <v>#VALUE!</v>
      </c>
      <c r="BT36" s="245" t="e">
        <f t="shared" si="9"/>
        <v>#DIV/0!</v>
      </c>
      <c r="BU36" s="280" t="e">
        <f t="shared" si="25"/>
        <v>#VALUE!</v>
      </c>
    </row>
    <row r="37" spans="1:73" ht="13.95" customHeight="1" thickBot="1" x14ac:dyDescent="0.35">
      <c r="A37" s="43"/>
      <c r="B37" s="314" t="str">
        <f>IF(E12=12,"Всього:",IF(B36&lt;$E$12,B36+1,""))</f>
        <v/>
      </c>
      <c r="C37" s="314"/>
      <c r="D37" s="205" t="str">
        <f>IF(E12=12,SUM(D25:D36),IF(B36&lt;$E$12,IF($N$24="ні",AE16,BJ16),""))</f>
        <v/>
      </c>
      <c r="E37" s="313" t="str">
        <f>IF(E12=12,SUM(E25:F36),IF(B36&lt;$E$12,IF($N$24="ні",AG16,BL16),""))</f>
        <v/>
      </c>
      <c r="F37" s="313"/>
      <c r="G37" s="313" t="str">
        <f>IF(E12=12,SUM(G25:H36),IF(B36&lt;$E$12,IF($N$24="ні",AI16,BN16),""))</f>
        <v/>
      </c>
      <c r="H37" s="313"/>
      <c r="I37" s="202"/>
      <c r="J37" s="53"/>
      <c r="K37" s="56"/>
      <c r="L37" s="56"/>
      <c r="M37" s="54"/>
      <c r="N37" s="54"/>
      <c r="O37" s="125"/>
      <c r="Q37" s="192" t="s">
        <v>502</v>
      </c>
      <c r="R37" s="192">
        <f>S16*S33</f>
        <v>0</v>
      </c>
      <c r="S37" s="63"/>
      <c r="AA37" s="196" t="str">
        <f t="shared" si="0"/>
        <v>-</v>
      </c>
      <c r="AB37" s="185" t="str">
        <f t="shared" si="11"/>
        <v>-</v>
      </c>
      <c r="AC37" s="353">
        <f t="shared" si="34"/>
        <v>34</v>
      </c>
      <c r="AD37" s="354"/>
      <c r="AE37" s="83" t="str">
        <f t="shared" si="12"/>
        <v>-</v>
      </c>
      <c r="AF37" s="84"/>
      <c r="AG37" s="355" t="str">
        <f t="shared" si="13"/>
        <v>-</v>
      </c>
      <c r="AH37" s="356"/>
      <c r="AI37" s="357" t="str">
        <f t="shared" si="16"/>
        <v>-</v>
      </c>
      <c r="AJ37" s="358"/>
      <c r="AK37" s="85">
        <f t="shared" ca="1" si="1"/>
        <v>47208</v>
      </c>
      <c r="AL37" s="353">
        <v>34</v>
      </c>
      <c r="AM37" s="354"/>
      <c r="AN37" s="86" t="e">
        <f t="shared" si="2"/>
        <v>#DIV/0!</v>
      </c>
      <c r="AO37" s="87"/>
      <c r="AP37" s="359" t="e">
        <f t="shared" ca="1" si="3"/>
        <v>#DIV/0!</v>
      </c>
      <c r="AQ37" s="360"/>
      <c r="AR37" s="361" t="e">
        <f t="shared" ca="1" si="4"/>
        <v>#DIV/0!</v>
      </c>
      <c r="AS37" s="362"/>
      <c r="AT37" s="87" t="e">
        <f t="shared" ca="1" si="14"/>
        <v>#DIV/0!</v>
      </c>
      <c r="AU37" s="75" t="str">
        <f t="shared" si="5"/>
        <v>-</v>
      </c>
      <c r="AZ37" s="284">
        <v>3.5999999999999999E-3</v>
      </c>
      <c r="BG37" s="246">
        <f t="shared" ca="1" si="17"/>
        <v>47208</v>
      </c>
      <c r="BH37" s="287" t="e">
        <f t="shared" si="35"/>
        <v>#VALUE!</v>
      </c>
      <c r="BI37" s="288"/>
      <c r="BJ37" s="247" t="e">
        <f t="shared" si="36"/>
        <v>#VALUE!</v>
      </c>
      <c r="BK37" s="248"/>
      <c r="BL37" s="251" t="e">
        <f t="shared" si="37"/>
        <v>#VALUE!</v>
      </c>
      <c r="BM37" s="248"/>
      <c r="BN37" s="249" t="e">
        <f t="shared" si="20"/>
        <v>#VALUE!</v>
      </c>
      <c r="BO37" s="250"/>
      <c r="BQ37" s="53" t="e">
        <f t="shared" si="6"/>
        <v>#VALUE!</v>
      </c>
      <c r="BR37" s="233" t="e">
        <f t="shared" si="7"/>
        <v>#VALUE!</v>
      </c>
      <c r="BS37" s="245" t="e">
        <f t="shared" si="8"/>
        <v>#VALUE!</v>
      </c>
      <c r="BT37" s="245" t="e">
        <f t="shared" si="9"/>
        <v>#DIV/0!</v>
      </c>
      <c r="BU37" s="280" t="e">
        <f t="shared" si="25"/>
        <v>#VALUE!</v>
      </c>
    </row>
    <row r="38" spans="1:73" ht="13.95" customHeight="1" thickBot="1" x14ac:dyDescent="0.35">
      <c r="A38" s="43"/>
      <c r="B38" s="314" t="str">
        <f t="shared" ref="B38:B101" si="38">IF(B37&lt;$E$12,B37+1,"")</f>
        <v/>
      </c>
      <c r="C38" s="314"/>
      <c r="D38" s="205" t="str">
        <f t="shared" ref="D38:D48" si="39">IF(B37&lt;$E$12,IF($N$24="ні",AE17,BJ17),"")</f>
        <v/>
      </c>
      <c r="E38" s="313" t="str">
        <f t="shared" ref="E38:E48" si="40">IF(B37&lt;$E$12,IF($N$24="ні",AG17,BL17),"")</f>
        <v/>
      </c>
      <c r="F38" s="313"/>
      <c r="G38" s="313" t="str">
        <f t="shared" ref="G38:G48" si="41">IF(B37&lt;$E$12,IF($N$24="ні",AI17,BN17),"")</f>
        <v/>
      </c>
      <c r="H38" s="313"/>
      <c r="I38" s="202"/>
      <c r="J38" s="53"/>
      <c r="K38" s="56"/>
      <c r="L38" s="56"/>
      <c r="M38" s="54"/>
      <c r="N38" s="54"/>
      <c r="O38" s="125"/>
      <c r="Q38" s="192" t="s">
        <v>405</v>
      </c>
      <c r="R38" s="192">
        <f>E4*T33</f>
        <v>0</v>
      </c>
      <c r="S38" s="281"/>
      <c r="T38" s="131"/>
      <c r="U38" s="132"/>
      <c r="V38" s="133"/>
      <c r="W38" s="133"/>
      <c r="X38" s="133"/>
      <c r="Y38" s="133"/>
      <c r="AA38" s="196" t="str">
        <f t="shared" si="0"/>
        <v>-</v>
      </c>
      <c r="AB38" s="185" t="str">
        <f t="shared" si="11"/>
        <v>-</v>
      </c>
      <c r="AC38" s="353">
        <f t="shared" si="34"/>
        <v>35</v>
      </c>
      <c r="AD38" s="354"/>
      <c r="AE38" s="83" t="str">
        <f t="shared" si="12"/>
        <v>-</v>
      </c>
      <c r="AF38" s="84"/>
      <c r="AG38" s="355" t="str">
        <f t="shared" si="13"/>
        <v>-</v>
      </c>
      <c r="AH38" s="356"/>
      <c r="AI38" s="357" t="str">
        <f t="shared" si="16"/>
        <v>-</v>
      </c>
      <c r="AJ38" s="358"/>
      <c r="AK38" s="85">
        <f t="shared" ca="1" si="1"/>
        <v>47238</v>
      </c>
      <c r="AL38" s="353">
        <v>35</v>
      </c>
      <c r="AM38" s="354"/>
      <c r="AN38" s="86" t="e">
        <f t="shared" si="2"/>
        <v>#DIV/0!</v>
      </c>
      <c r="AO38" s="87"/>
      <c r="AP38" s="359" t="e">
        <f t="shared" ca="1" si="3"/>
        <v>#DIV/0!</v>
      </c>
      <c r="AQ38" s="360"/>
      <c r="AR38" s="361" t="e">
        <f t="shared" ca="1" si="4"/>
        <v>#DIV/0!</v>
      </c>
      <c r="AS38" s="362"/>
      <c r="AT38" s="87" t="e">
        <f t="shared" ca="1" si="14"/>
        <v>#DIV/0!</v>
      </c>
      <c r="AU38" s="75" t="str">
        <f t="shared" si="5"/>
        <v>-</v>
      </c>
      <c r="AZ38" s="284">
        <v>3.7000000000000002E-3</v>
      </c>
      <c r="BG38" s="246">
        <f t="shared" ca="1" si="17"/>
        <v>47238</v>
      </c>
      <c r="BH38" s="287" t="e">
        <f t="shared" si="35"/>
        <v>#VALUE!</v>
      </c>
      <c r="BI38" s="288"/>
      <c r="BJ38" s="247" t="e">
        <f t="shared" si="36"/>
        <v>#VALUE!</v>
      </c>
      <c r="BK38" s="248"/>
      <c r="BL38" s="251" t="e">
        <f t="shared" si="37"/>
        <v>#VALUE!</v>
      </c>
      <c r="BM38" s="248"/>
      <c r="BN38" s="249" t="e">
        <f t="shared" si="20"/>
        <v>#VALUE!</v>
      </c>
      <c r="BO38" s="250"/>
      <c r="BQ38" s="53" t="e">
        <f t="shared" si="6"/>
        <v>#VALUE!</v>
      </c>
      <c r="BR38" s="233" t="e">
        <f>IF(BH38&lt;=$BC$23,($BC$20/12)*BT37,($BC$21/12)*BT37)</f>
        <v>#VALUE!</v>
      </c>
      <c r="BS38" s="245" t="e">
        <f t="shared" si="8"/>
        <v>#VALUE!</v>
      </c>
      <c r="BT38" s="245" t="e">
        <f t="shared" si="9"/>
        <v>#DIV/0!</v>
      </c>
      <c r="BU38" s="280" t="e">
        <f t="shared" si="25"/>
        <v>#VALUE!</v>
      </c>
    </row>
    <row r="39" spans="1:73" ht="13.95" customHeight="1" thickBot="1" x14ac:dyDescent="0.35">
      <c r="A39" s="43"/>
      <c r="B39" s="314" t="str">
        <f t="shared" si="38"/>
        <v/>
      </c>
      <c r="C39" s="314"/>
      <c r="D39" s="205" t="str">
        <f t="shared" si="39"/>
        <v/>
      </c>
      <c r="E39" s="313" t="str">
        <f t="shared" si="40"/>
        <v/>
      </c>
      <c r="F39" s="313"/>
      <c r="G39" s="313" t="str">
        <f t="shared" si="41"/>
        <v/>
      </c>
      <c r="H39" s="313"/>
      <c r="I39" s="202"/>
      <c r="J39" s="53"/>
      <c r="K39" s="56"/>
      <c r="L39" s="56"/>
      <c r="M39" s="54"/>
      <c r="N39" s="54"/>
      <c r="O39" s="125"/>
      <c r="Q39" s="92" t="s">
        <v>406</v>
      </c>
      <c r="R39" s="194">
        <f>IF(E6="Ні",IF(E4/1.2&lt;=165*$S$28,E4/1.2*3%,IF(E4/1.2&lt;=290*$S$28,E4/1.2*4%,E4/1.2*5%)),0)</f>
        <v>0</v>
      </c>
      <c r="T39" s="131"/>
      <c r="U39" s="132"/>
      <c r="V39" s="132"/>
      <c r="W39" s="132"/>
      <c r="X39" s="132"/>
      <c r="Y39" s="132"/>
      <c r="AA39" s="196" t="str">
        <f>IFERROR(AI39+Z40,"-")</f>
        <v>-</v>
      </c>
      <c r="AB39" s="185" t="str">
        <f t="shared" si="11"/>
        <v>-</v>
      </c>
      <c r="AC39" s="353">
        <f t="shared" si="34"/>
        <v>36</v>
      </c>
      <c r="AD39" s="354"/>
      <c r="AE39" s="83" t="str">
        <f t="shared" si="12"/>
        <v>-</v>
      </c>
      <c r="AF39" s="84"/>
      <c r="AG39" s="355" t="str">
        <f t="shared" si="13"/>
        <v>-</v>
      </c>
      <c r="AH39" s="356"/>
      <c r="AI39" s="357" t="str">
        <f t="shared" si="16"/>
        <v>-</v>
      </c>
      <c r="AJ39" s="358"/>
      <c r="AK39" s="85">
        <f t="shared" ca="1" si="1"/>
        <v>47269</v>
      </c>
      <c r="AL39" s="353">
        <v>36</v>
      </c>
      <c r="AM39" s="354"/>
      <c r="AN39" s="86" t="e">
        <f t="shared" si="2"/>
        <v>#DIV/0!</v>
      </c>
      <c r="AO39" s="87"/>
      <c r="AP39" s="359" t="e">
        <f t="shared" ca="1" si="3"/>
        <v>#DIV/0!</v>
      </c>
      <c r="AQ39" s="360"/>
      <c r="AR39" s="361" t="e">
        <f t="shared" ca="1" si="4"/>
        <v>#DIV/0!</v>
      </c>
      <c r="AS39" s="362"/>
      <c r="AT39" s="87" t="e">
        <f t="shared" ca="1" si="14"/>
        <v>#DIV/0!</v>
      </c>
      <c r="AU39" s="75" t="str">
        <f t="shared" si="5"/>
        <v>-</v>
      </c>
      <c r="AZ39" s="284">
        <v>3.8E-3</v>
      </c>
      <c r="BG39" s="246">
        <f t="shared" ca="1" si="17"/>
        <v>47269</v>
      </c>
      <c r="BH39" s="287" t="e">
        <f t="shared" si="35"/>
        <v>#VALUE!</v>
      </c>
      <c r="BI39" s="288"/>
      <c r="BJ39" s="247" t="e">
        <f t="shared" si="36"/>
        <v>#VALUE!</v>
      </c>
      <c r="BK39" s="248"/>
      <c r="BL39" s="251" t="e">
        <f t="shared" si="37"/>
        <v>#VALUE!</v>
      </c>
      <c r="BM39" s="248"/>
      <c r="BN39" s="249" t="e">
        <f t="shared" si="20"/>
        <v>#VALUE!</v>
      </c>
      <c r="BO39" s="250"/>
      <c r="BQ39" s="53" t="e">
        <f t="shared" si="6"/>
        <v>#VALUE!</v>
      </c>
      <c r="BR39" s="233" t="e">
        <f t="shared" si="7"/>
        <v>#VALUE!</v>
      </c>
      <c r="BS39" s="245" t="e">
        <f t="shared" si="8"/>
        <v>#VALUE!</v>
      </c>
      <c r="BT39" s="245" t="e">
        <f t="shared" si="9"/>
        <v>#DIV/0!</v>
      </c>
      <c r="BU39" s="280" t="str">
        <f>IFERROR(BN39+Z40,"-")</f>
        <v>-</v>
      </c>
    </row>
    <row r="40" spans="1:73" ht="13.95" customHeight="1" thickBot="1" x14ac:dyDescent="0.35">
      <c r="A40" s="43"/>
      <c r="B40" s="314" t="str">
        <f t="shared" si="38"/>
        <v/>
      </c>
      <c r="C40" s="314"/>
      <c r="D40" s="205" t="str">
        <f t="shared" si="39"/>
        <v/>
      </c>
      <c r="E40" s="313" t="str">
        <f t="shared" si="40"/>
        <v/>
      </c>
      <c r="F40" s="313"/>
      <c r="G40" s="313" t="str">
        <f t="shared" si="41"/>
        <v/>
      </c>
      <c r="H40" s="313"/>
      <c r="I40" s="202"/>
      <c r="J40" s="53"/>
      <c r="K40" s="55"/>
      <c r="L40" s="56"/>
      <c r="M40" s="54"/>
      <c r="N40" s="54"/>
      <c r="O40" s="125"/>
      <c r="Q40" s="92" t="s">
        <v>470</v>
      </c>
      <c r="R40" s="92">
        <f>Калькулятор!N43+Калькулятор!N37</f>
        <v>0</v>
      </c>
      <c r="T40" s="135"/>
      <c r="U40" s="135"/>
      <c r="V40" s="135"/>
      <c r="W40" s="135"/>
      <c r="X40" s="135"/>
      <c r="Y40" s="135"/>
      <c r="Z40" s="116">
        <f>IF($V$26&gt;AC40,$E$4*0.9*0.9*0.9*$T$33,0)</f>
        <v>0</v>
      </c>
      <c r="AA40" s="196" t="str">
        <f t="shared" si="0"/>
        <v>-</v>
      </c>
      <c r="AB40" s="185" t="str">
        <f t="shared" si="11"/>
        <v>-</v>
      </c>
      <c r="AC40" s="353">
        <f t="shared" si="34"/>
        <v>37</v>
      </c>
      <c r="AD40" s="354"/>
      <c r="AE40" s="83" t="str">
        <f t="shared" si="12"/>
        <v>-</v>
      </c>
      <c r="AF40" s="84"/>
      <c r="AG40" s="355" t="str">
        <f t="shared" si="13"/>
        <v>-</v>
      </c>
      <c r="AH40" s="356"/>
      <c r="AI40" s="357" t="str">
        <f t="shared" si="16"/>
        <v>-</v>
      </c>
      <c r="AJ40" s="358"/>
      <c r="AK40" s="85">
        <f t="shared" ca="1" si="1"/>
        <v>47299</v>
      </c>
      <c r="AL40" s="353">
        <v>37</v>
      </c>
      <c r="AM40" s="354"/>
      <c r="AN40" s="86" t="e">
        <f t="shared" si="2"/>
        <v>#DIV/0!</v>
      </c>
      <c r="AO40" s="87"/>
      <c r="AP40" s="359" t="e">
        <f t="shared" ca="1" si="3"/>
        <v>#DIV/0!</v>
      </c>
      <c r="AQ40" s="360"/>
      <c r="AR40" s="361" t="e">
        <f t="shared" ca="1" si="4"/>
        <v>#DIV/0!</v>
      </c>
      <c r="AS40" s="362"/>
      <c r="AT40" s="87" t="e">
        <f t="shared" ca="1" si="14"/>
        <v>#DIV/0!</v>
      </c>
      <c r="AU40" s="75" t="e">
        <f>AI40+AW40+AX40</f>
        <v>#VALUE!</v>
      </c>
      <c r="AW40" s="63" t="str">
        <f>IF($E$12&gt;$R$4,$E$4*0.9*0.9*0.9*5.5%,"")</f>
        <v/>
      </c>
      <c r="AX40" s="63" t="e">
        <f>IF(#REF!=0,0,IF($E$12&gt;$R$4,(AE90-SUM(AE4:AE39))*0.0299,""))</f>
        <v>#REF!</v>
      </c>
      <c r="AZ40" s="284">
        <v>3.8999999999999998E-3</v>
      </c>
      <c r="BG40" s="246">
        <f t="shared" ca="1" si="17"/>
        <v>47299</v>
      </c>
      <c r="BH40" s="287" t="e">
        <f t="shared" si="35"/>
        <v>#VALUE!</v>
      </c>
      <c r="BI40" s="288"/>
      <c r="BJ40" s="247" t="e">
        <f t="shared" si="36"/>
        <v>#VALUE!</v>
      </c>
      <c r="BK40" s="248"/>
      <c r="BL40" s="251" t="e">
        <f t="shared" si="37"/>
        <v>#VALUE!</v>
      </c>
      <c r="BM40" s="248"/>
      <c r="BN40" s="249" t="e">
        <f t="shared" si="20"/>
        <v>#VALUE!</v>
      </c>
      <c r="BO40" s="250"/>
      <c r="BQ40" s="53" t="e">
        <f t="shared" si="6"/>
        <v>#VALUE!</v>
      </c>
      <c r="BR40" s="233" t="e">
        <f t="shared" si="7"/>
        <v>#VALUE!</v>
      </c>
      <c r="BS40" s="245" t="e">
        <f t="shared" si="8"/>
        <v>#VALUE!</v>
      </c>
      <c r="BT40" s="245" t="e">
        <f t="shared" si="9"/>
        <v>#DIV/0!</v>
      </c>
      <c r="BU40" s="280" t="e">
        <f t="shared" si="25"/>
        <v>#VALUE!</v>
      </c>
    </row>
    <row r="41" spans="1:73" ht="13.95" customHeight="1" thickBot="1" x14ac:dyDescent="0.35">
      <c r="A41" s="43"/>
      <c r="B41" s="314" t="str">
        <f t="shared" si="38"/>
        <v/>
      </c>
      <c r="C41" s="314"/>
      <c r="D41" s="205" t="str">
        <f t="shared" si="39"/>
        <v/>
      </c>
      <c r="E41" s="313" t="str">
        <f t="shared" si="40"/>
        <v/>
      </c>
      <c r="F41" s="313"/>
      <c r="G41" s="313" t="str">
        <f t="shared" si="41"/>
        <v/>
      </c>
      <c r="H41" s="313"/>
      <c r="I41" s="202"/>
      <c r="J41" s="53"/>
      <c r="K41" s="134" t="s">
        <v>451</v>
      </c>
      <c r="L41" s="56"/>
      <c r="M41" s="54"/>
      <c r="N41" s="54"/>
      <c r="O41" s="125"/>
      <c r="Q41" s="192" t="s">
        <v>500</v>
      </c>
      <c r="R41" s="197" t="b">
        <f>IF(N24="так",R42,R43)</f>
        <v>0</v>
      </c>
      <c r="S41" s="74"/>
      <c r="T41" s="74"/>
      <c r="U41" s="74"/>
      <c r="V41" s="74"/>
      <c r="W41" s="74"/>
      <c r="X41" s="74"/>
      <c r="Y41" s="74"/>
      <c r="AA41" s="196" t="str">
        <f t="shared" si="0"/>
        <v>-</v>
      </c>
      <c r="AB41" s="185" t="str">
        <f t="shared" si="11"/>
        <v>-</v>
      </c>
      <c r="AC41" s="353">
        <f t="shared" si="34"/>
        <v>38</v>
      </c>
      <c r="AD41" s="354"/>
      <c r="AE41" s="83" t="str">
        <f t="shared" si="12"/>
        <v>-</v>
      </c>
      <c r="AF41" s="84"/>
      <c r="AG41" s="355" t="str">
        <f t="shared" si="13"/>
        <v>-</v>
      </c>
      <c r="AH41" s="356"/>
      <c r="AI41" s="357" t="str">
        <f t="shared" si="16"/>
        <v>-</v>
      </c>
      <c r="AJ41" s="358"/>
      <c r="AK41" s="85">
        <f t="shared" ca="1" si="1"/>
        <v>47330</v>
      </c>
      <c r="AL41" s="353">
        <v>38</v>
      </c>
      <c r="AM41" s="354"/>
      <c r="AN41" s="86" t="e">
        <f t="shared" si="2"/>
        <v>#DIV/0!</v>
      </c>
      <c r="AO41" s="87"/>
      <c r="AP41" s="359" t="e">
        <f t="shared" ca="1" si="3"/>
        <v>#DIV/0!</v>
      </c>
      <c r="AQ41" s="360"/>
      <c r="AR41" s="361" t="e">
        <f t="shared" ca="1" si="4"/>
        <v>#DIV/0!</v>
      </c>
      <c r="AS41" s="362"/>
      <c r="AT41" s="87" t="e">
        <f t="shared" ca="1" si="14"/>
        <v>#DIV/0!</v>
      </c>
      <c r="AU41" s="75" t="str">
        <f t="shared" si="5"/>
        <v>-</v>
      </c>
      <c r="AZ41" s="284">
        <v>4.0000000000000001E-3</v>
      </c>
      <c r="BG41" s="246">
        <f t="shared" ca="1" si="17"/>
        <v>47330</v>
      </c>
      <c r="BH41" s="287" t="e">
        <f t="shared" si="35"/>
        <v>#VALUE!</v>
      </c>
      <c r="BI41" s="288"/>
      <c r="BJ41" s="247" t="e">
        <f t="shared" si="36"/>
        <v>#VALUE!</v>
      </c>
      <c r="BK41" s="248"/>
      <c r="BL41" s="251" t="e">
        <f t="shared" si="37"/>
        <v>#VALUE!</v>
      </c>
      <c r="BM41" s="248"/>
      <c r="BN41" s="249" t="e">
        <f t="shared" si="20"/>
        <v>#VALUE!</v>
      </c>
      <c r="BO41" s="250"/>
      <c r="BQ41" s="53" t="e">
        <f t="shared" si="6"/>
        <v>#VALUE!</v>
      </c>
      <c r="BR41" s="233" t="e">
        <f t="shared" si="7"/>
        <v>#VALUE!</v>
      </c>
      <c r="BS41" s="245" t="e">
        <f t="shared" si="8"/>
        <v>#VALUE!</v>
      </c>
      <c r="BT41" s="245" t="e">
        <f t="shared" si="9"/>
        <v>#DIV/0!</v>
      </c>
      <c r="BU41" s="280" t="e">
        <f t="shared" si="25"/>
        <v>#VALUE!</v>
      </c>
    </row>
    <row r="42" spans="1:73" ht="13.95" customHeight="1" thickBot="1" x14ac:dyDescent="0.35">
      <c r="A42" s="43"/>
      <c r="B42" s="314" t="str">
        <f t="shared" si="38"/>
        <v/>
      </c>
      <c r="C42" s="314"/>
      <c r="D42" s="205" t="str">
        <f t="shared" si="39"/>
        <v/>
      </c>
      <c r="E42" s="313" t="str">
        <f t="shared" si="40"/>
        <v/>
      </c>
      <c r="F42" s="313"/>
      <c r="G42" s="313" t="str">
        <f t="shared" si="41"/>
        <v/>
      </c>
      <c r="H42" s="313"/>
      <c r="I42" s="202"/>
      <c r="J42" s="53"/>
      <c r="K42" s="136"/>
      <c r="L42" s="56"/>
      <c r="M42" s="54"/>
      <c r="N42" s="54"/>
      <c r="O42" s="125"/>
      <c r="Q42" s="62" t="s">
        <v>538</v>
      </c>
      <c r="R42" s="281" t="b">
        <f>IF(V26=12,XIRR(BU3:BU15,AB3:AB15),IF(V26=24,XIRR(BU3:BU27,AB3:AB27),IF(V26=36,XIRR(BU3:BU39,AB3:AB39),IF(V26=48,XIRR(BU3:BU51,AB3:AB51),IF(V26=60,XIRR(BU3:BU63,AB3:AB63),IF(V26=72,XIRR(BU3:BU75,AB3:AB75),IF(V26=84,XIRR(BU3:BU87,AB3:AB87))))))))</f>
        <v>0</v>
      </c>
      <c r="S42" s="74"/>
      <c r="T42" s="74"/>
      <c r="U42" s="74"/>
      <c r="V42" s="74"/>
      <c r="W42" s="74"/>
      <c r="X42" s="74"/>
      <c r="Y42" s="74"/>
      <c r="AA42" s="196" t="str">
        <f t="shared" si="0"/>
        <v>-</v>
      </c>
      <c r="AB42" s="185" t="str">
        <f t="shared" si="11"/>
        <v>-</v>
      </c>
      <c r="AC42" s="353">
        <f t="shared" si="34"/>
        <v>39</v>
      </c>
      <c r="AD42" s="354"/>
      <c r="AE42" s="83" t="str">
        <f t="shared" si="12"/>
        <v>-</v>
      </c>
      <c r="AF42" s="84"/>
      <c r="AG42" s="355" t="str">
        <f t="shared" si="13"/>
        <v>-</v>
      </c>
      <c r="AH42" s="356"/>
      <c r="AI42" s="357" t="str">
        <f t="shared" si="16"/>
        <v>-</v>
      </c>
      <c r="AJ42" s="358"/>
      <c r="AK42" s="85">
        <f t="shared" ca="1" si="1"/>
        <v>47361</v>
      </c>
      <c r="AL42" s="353">
        <v>39</v>
      </c>
      <c r="AM42" s="354"/>
      <c r="AN42" s="86" t="e">
        <f t="shared" si="2"/>
        <v>#DIV/0!</v>
      </c>
      <c r="AO42" s="87"/>
      <c r="AP42" s="359" t="e">
        <f t="shared" ca="1" si="3"/>
        <v>#DIV/0!</v>
      </c>
      <c r="AQ42" s="360"/>
      <c r="AR42" s="361" t="e">
        <f t="shared" ca="1" si="4"/>
        <v>#DIV/0!</v>
      </c>
      <c r="AS42" s="362"/>
      <c r="AT42" s="87" t="e">
        <f t="shared" ca="1" si="14"/>
        <v>#DIV/0!</v>
      </c>
      <c r="AU42" s="75" t="str">
        <f t="shared" si="5"/>
        <v>-</v>
      </c>
      <c r="AZ42" s="284">
        <v>4.1000000000000003E-3</v>
      </c>
      <c r="BG42" s="246">
        <f t="shared" ca="1" si="17"/>
        <v>47361</v>
      </c>
      <c r="BH42" s="287" t="e">
        <f t="shared" si="35"/>
        <v>#VALUE!</v>
      </c>
      <c r="BI42" s="288"/>
      <c r="BJ42" s="247" t="e">
        <f t="shared" si="36"/>
        <v>#VALUE!</v>
      </c>
      <c r="BK42" s="248"/>
      <c r="BL42" s="251" t="e">
        <f t="shared" si="37"/>
        <v>#VALUE!</v>
      </c>
      <c r="BM42" s="248"/>
      <c r="BN42" s="249" t="e">
        <f t="shared" si="20"/>
        <v>#VALUE!</v>
      </c>
      <c r="BO42" s="250"/>
      <c r="BQ42" s="53" t="e">
        <f t="shared" si="6"/>
        <v>#VALUE!</v>
      </c>
      <c r="BR42" s="233" t="e">
        <f t="shared" si="7"/>
        <v>#VALUE!</v>
      </c>
      <c r="BS42" s="245" t="e">
        <f t="shared" si="8"/>
        <v>#VALUE!</v>
      </c>
      <c r="BT42" s="245" t="e">
        <f t="shared" si="9"/>
        <v>#DIV/0!</v>
      </c>
      <c r="BU42" s="280" t="e">
        <f t="shared" si="25"/>
        <v>#VALUE!</v>
      </c>
    </row>
    <row r="43" spans="1:73" ht="13.95" customHeight="1" thickBot="1" x14ac:dyDescent="0.35">
      <c r="A43" s="43"/>
      <c r="B43" s="314" t="str">
        <f t="shared" si="38"/>
        <v/>
      </c>
      <c r="C43" s="314"/>
      <c r="D43" s="205" t="str">
        <f t="shared" si="39"/>
        <v/>
      </c>
      <c r="E43" s="313" t="str">
        <f t="shared" si="40"/>
        <v/>
      </c>
      <c r="F43" s="313"/>
      <c r="G43" s="313" t="str">
        <f t="shared" si="41"/>
        <v/>
      </c>
      <c r="H43" s="313"/>
      <c r="I43" s="202"/>
      <c r="J43" s="53"/>
      <c r="K43" s="55"/>
      <c r="L43" s="56"/>
      <c r="M43" s="54"/>
      <c r="N43" s="54"/>
      <c r="O43" s="137"/>
      <c r="Q43" s="192" t="s">
        <v>539</v>
      </c>
      <c r="R43" s="282" t="b">
        <f>IF(V26=12,XIRR(AA3:AA15,AB3:AB15),IF(V26=24,XIRR(AA3:AA27,AB3:AB27),IF(V26=36,XIRR(AA3:AA39,AB3:AB39),IF(V26=48,XIRR(AA3:AA51,AB3:AB51),IF(V26=60,XIRR(AA3:AA63,AB3:AB63),IF(V26=72,XIRR(AA3:AA75,AB3:AB75),IF(V26=84,XIRR(AA3:AA87,AB3:AB87))))))))</f>
        <v>0</v>
      </c>
      <c r="S43" s="74"/>
      <c r="T43" s="74"/>
      <c r="U43" s="74"/>
      <c r="V43" s="74"/>
      <c r="W43" s="74"/>
      <c r="X43" s="74"/>
      <c r="Y43" s="74"/>
      <c r="AA43" s="196" t="str">
        <f t="shared" si="0"/>
        <v>-</v>
      </c>
      <c r="AB43" s="185" t="str">
        <f t="shared" si="11"/>
        <v>-</v>
      </c>
      <c r="AC43" s="353">
        <f>AC42+1</f>
        <v>40</v>
      </c>
      <c r="AD43" s="354"/>
      <c r="AE43" s="83" t="str">
        <f t="shared" si="12"/>
        <v>-</v>
      </c>
      <c r="AF43" s="84"/>
      <c r="AG43" s="355" t="str">
        <f t="shared" si="13"/>
        <v>-</v>
      </c>
      <c r="AH43" s="356"/>
      <c r="AI43" s="357" t="str">
        <f t="shared" si="16"/>
        <v>-</v>
      </c>
      <c r="AJ43" s="358"/>
      <c r="AK43" s="85">
        <f t="shared" ca="1" si="1"/>
        <v>47391</v>
      </c>
      <c r="AL43" s="353">
        <v>40</v>
      </c>
      <c r="AM43" s="354"/>
      <c r="AN43" s="86" t="e">
        <f t="shared" si="2"/>
        <v>#DIV/0!</v>
      </c>
      <c r="AO43" s="87"/>
      <c r="AP43" s="359" t="e">
        <f t="shared" ca="1" si="3"/>
        <v>#DIV/0!</v>
      </c>
      <c r="AQ43" s="360"/>
      <c r="AR43" s="361" t="e">
        <f t="shared" ca="1" si="4"/>
        <v>#DIV/0!</v>
      </c>
      <c r="AS43" s="362"/>
      <c r="AT43" s="87" t="e">
        <f t="shared" ca="1" si="14"/>
        <v>#DIV/0!</v>
      </c>
      <c r="AU43" s="75" t="str">
        <f t="shared" si="5"/>
        <v>-</v>
      </c>
      <c r="AZ43" s="284">
        <v>4.1999999999999997E-3</v>
      </c>
      <c r="BG43" s="246">
        <f t="shared" ca="1" si="17"/>
        <v>47391</v>
      </c>
      <c r="BH43" s="287" t="e">
        <f t="shared" si="35"/>
        <v>#VALUE!</v>
      </c>
      <c r="BI43" s="288"/>
      <c r="BJ43" s="247" t="e">
        <f t="shared" si="36"/>
        <v>#VALUE!</v>
      </c>
      <c r="BK43" s="248"/>
      <c r="BL43" s="251" t="e">
        <f t="shared" si="37"/>
        <v>#VALUE!</v>
      </c>
      <c r="BM43" s="248"/>
      <c r="BN43" s="249" t="e">
        <f t="shared" si="20"/>
        <v>#VALUE!</v>
      </c>
      <c r="BO43" s="250"/>
      <c r="BQ43" s="53" t="e">
        <f t="shared" si="6"/>
        <v>#VALUE!</v>
      </c>
      <c r="BR43" s="233" t="e">
        <f t="shared" si="7"/>
        <v>#VALUE!</v>
      </c>
      <c r="BS43" s="245" t="e">
        <f t="shared" si="8"/>
        <v>#VALUE!</v>
      </c>
      <c r="BT43" s="245" t="e">
        <f t="shared" si="9"/>
        <v>#DIV/0!</v>
      </c>
      <c r="BU43" s="280" t="e">
        <f t="shared" si="25"/>
        <v>#VALUE!</v>
      </c>
    </row>
    <row r="44" spans="1:73" ht="13.95" customHeight="1" thickBot="1" x14ac:dyDescent="0.35">
      <c r="A44" s="43"/>
      <c r="B44" s="314" t="str">
        <f t="shared" si="38"/>
        <v/>
      </c>
      <c r="C44" s="314"/>
      <c r="D44" s="205" t="str">
        <f t="shared" si="39"/>
        <v/>
      </c>
      <c r="E44" s="313" t="str">
        <f t="shared" si="40"/>
        <v/>
      </c>
      <c r="F44" s="313"/>
      <c r="G44" s="313" t="str">
        <f t="shared" si="41"/>
        <v/>
      </c>
      <c r="H44" s="313"/>
      <c r="I44" s="202"/>
      <c r="J44" s="53"/>
      <c r="K44" s="55"/>
      <c r="L44" s="56"/>
      <c r="M44" s="54"/>
      <c r="N44" s="54"/>
      <c r="O44" s="137"/>
      <c r="S44" s="74"/>
      <c r="T44" s="74"/>
      <c r="U44" s="74"/>
      <c r="V44" s="74"/>
      <c r="W44" s="74"/>
      <c r="X44" s="74"/>
      <c r="Y44" s="74"/>
      <c r="AA44" s="196" t="str">
        <f t="shared" si="0"/>
        <v>-</v>
      </c>
      <c r="AB44" s="185" t="str">
        <f t="shared" si="11"/>
        <v>-</v>
      </c>
      <c r="AC44" s="353">
        <f t="shared" si="34"/>
        <v>41</v>
      </c>
      <c r="AD44" s="354"/>
      <c r="AE44" s="83" t="str">
        <f t="shared" si="12"/>
        <v>-</v>
      </c>
      <c r="AF44" s="84"/>
      <c r="AG44" s="355" t="str">
        <f t="shared" si="13"/>
        <v>-</v>
      </c>
      <c r="AH44" s="356"/>
      <c r="AI44" s="357" t="str">
        <f t="shared" si="16"/>
        <v>-</v>
      </c>
      <c r="AJ44" s="358"/>
      <c r="AK44" s="85">
        <f t="shared" ca="1" si="1"/>
        <v>47422</v>
      </c>
      <c r="AL44" s="353">
        <v>41</v>
      </c>
      <c r="AM44" s="354"/>
      <c r="AN44" s="86" t="e">
        <f t="shared" si="2"/>
        <v>#DIV/0!</v>
      </c>
      <c r="AO44" s="87"/>
      <c r="AP44" s="359" t="e">
        <f t="shared" ca="1" si="3"/>
        <v>#DIV/0!</v>
      </c>
      <c r="AQ44" s="360"/>
      <c r="AR44" s="361" t="e">
        <f t="shared" ca="1" si="4"/>
        <v>#DIV/0!</v>
      </c>
      <c r="AS44" s="362"/>
      <c r="AT44" s="87" t="e">
        <f t="shared" ca="1" si="14"/>
        <v>#DIV/0!</v>
      </c>
      <c r="AU44" s="75" t="str">
        <f t="shared" si="5"/>
        <v>-</v>
      </c>
      <c r="AZ44" s="284">
        <v>4.3E-3</v>
      </c>
      <c r="BG44" s="246">
        <f t="shared" ca="1" si="17"/>
        <v>47422</v>
      </c>
      <c r="BH44" s="287" t="e">
        <f t="shared" si="35"/>
        <v>#VALUE!</v>
      </c>
      <c r="BI44" s="288"/>
      <c r="BJ44" s="247" t="e">
        <f t="shared" si="36"/>
        <v>#VALUE!</v>
      </c>
      <c r="BK44" s="248"/>
      <c r="BL44" s="251" t="e">
        <f t="shared" si="37"/>
        <v>#VALUE!</v>
      </c>
      <c r="BM44" s="248"/>
      <c r="BN44" s="249" t="e">
        <f t="shared" si="20"/>
        <v>#VALUE!</v>
      </c>
      <c r="BO44" s="250"/>
      <c r="BQ44" s="53" t="e">
        <f t="shared" si="6"/>
        <v>#VALUE!</v>
      </c>
      <c r="BR44" s="233" t="e">
        <f t="shared" si="7"/>
        <v>#VALUE!</v>
      </c>
      <c r="BS44" s="245" t="e">
        <f t="shared" si="8"/>
        <v>#VALUE!</v>
      </c>
      <c r="BT44" s="245" t="e">
        <f t="shared" si="9"/>
        <v>#DIV/0!</v>
      </c>
      <c r="BU44" s="280" t="e">
        <f t="shared" si="25"/>
        <v>#VALUE!</v>
      </c>
    </row>
    <row r="45" spans="1:73" ht="13.95" customHeight="1" thickBot="1" x14ac:dyDescent="0.35">
      <c r="A45" s="43"/>
      <c r="B45" s="314" t="str">
        <f t="shared" si="38"/>
        <v/>
      </c>
      <c r="C45" s="314"/>
      <c r="D45" s="205" t="str">
        <f t="shared" si="39"/>
        <v/>
      </c>
      <c r="E45" s="313" t="str">
        <f t="shared" si="40"/>
        <v/>
      </c>
      <c r="F45" s="313"/>
      <c r="G45" s="313" t="str">
        <f t="shared" si="41"/>
        <v/>
      </c>
      <c r="H45" s="313"/>
      <c r="I45" s="202"/>
      <c r="J45" s="53"/>
      <c r="K45" s="55"/>
      <c r="L45" s="56"/>
      <c r="M45" s="54"/>
      <c r="N45" s="54"/>
      <c r="O45" s="137"/>
      <c r="S45" s="74"/>
      <c r="T45" s="74"/>
      <c r="U45" s="74"/>
      <c r="V45" s="74"/>
      <c r="W45" s="74"/>
      <c r="X45" s="74"/>
      <c r="Y45" s="74"/>
      <c r="AA45" s="196" t="str">
        <f t="shared" si="0"/>
        <v>-</v>
      </c>
      <c r="AB45" s="185" t="str">
        <f t="shared" si="11"/>
        <v>-</v>
      </c>
      <c r="AC45" s="353">
        <f t="shared" si="34"/>
        <v>42</v>
      </c>
      <c r="AD45" s="354"/>
      <c r="AE45" s="83" t="str">
        <f t="shared" si="12"/>
        <v>-</v>
      </c>
      <c r="AF45" s="84"/>
      <c r="AG45" s="355" t="str">
        <f t="shared" si="13"/>
        <v>-</v>
      </c>
      <c r="AH45" s="356"/>
      <c r="AI45" s="357" t="str">
        <f t="shared" si="16"/>
        <v>-</v>
      </c>
      <c r="AJ45" s="358"/>
      <c r="AK45" s="85">
        <f t="shared" ca="1" si="1"/>
        <v>47452</v>
      </c>
      <c r="AL45" s="353">
        <v>42</v>
      </c>
      <c r="AM45" s="354"/>
      <c r="AN45" s="86" t="e">
        <f t="shared" si="2"/>
        <v>#DIV/0!</v>
      </c>
      <c r="AO45" s="87"/>
      <c r="AP45" s="359" t="e">
        <f t="shared" ca="1" si="3"/>
        <v>#DIV/0!</v>
      </c>
      <c r="AQ45" s="360"/>
      <c r="AR45" s="361" t="e">
        <f t="shared" ca="1" si="4"/>
        <v>#DIV/0!</v>
      </c>
      <c r="AS45" s="362"/>
      <c r="AT45" s="87" t="e">
        <f t="shared" ca="1" si="14"/>
        <v>#DIV/0!</v>
      </c>
      <c r="AU45" s="75" t="str">
        <f t="shared" si="5"/>
        <v>-</v>
      </c>
      <c r="AZ45" s="284">
        <v>4.4000000000000003E-3</v>
      </c>
      <c r="BG45" s="246">
        <f t="shared" ca="1" si="17"/>
        <v>47452</v>
      </c>
      <c r="BH45" s="287" t="e">
        <f t="shared" si="35"/>
        <v>#VALUE!</v>
      </c>
      <c r="BI45" s="288"/>
      <c r="BJ45" s="247" t="e">
        <f t="shared" si="36"/>
        <v>#VALUE!</v>
      </c>
      <c r="BK45" s="248"/>
      <c r="BL45" s="251" t="e">
        <f t="shared" si="37"/>
        <v>#VALUE!</v>
      </c>
      <c r="BM45" s="248"/>
      <c r="BN45" s="249" t="e">
        <f t="shared" si="20"/>
        <v>#VALUE!</v>
      </c>
      <c r="BO45" s="250"/>
      <c r="BQ45" s="53" t="e">
        <f t="shared" si="6"/>
        <v>#VALUE!</v>
      </c>
      <c r="BR45" s="233" t="e">
        <f t="shared" si="7"/>
        <v>#VALUE!</v>
      </c>
      <c r="BS45" s="245" t="e">
        <f t="shared" si="8"/>
        <v>#VALUE!</v>
      </c>
      <c r="BT45" s="245" t="e">
        <f t="shared" si="9"/>
        <v>#DIV/0!</v>
      </c>
      <c r="BU45" s="280" t="e">
        <f t="shared" si="25"/>
        <v>#VALUE!</v>
      </c>
    </row>
    <row r="46" spans="1:73" ht="13.95" customHeight="1" thickBot="1" x14ac:dyDescent="0.35">
      <c r="A46" s="43"/>
      <c r="B46" s="314" t="str">
        <f t="shared" si="38"/>
        <v/>
      </c>
      <c r="C46" s="314"/>
      <c r="D46" s="205" t="str">
        <f t="shared" si="39"/>
        <v/>
      </c>
      <c r="E46" s="313" t="str">
        <f t="shared" si="40"/>
        <v/>
      </c>
      <c r="F46" s="313"/>
      <c r="G46" s="313" t="str">
        <f t="shared" si="41"/>
        <v/>
      </c>
      <c r="H46" s="313"/>
      <c r="I46" s="202"/>
      <c r="J46" s="53"/>
      <c r="K46" s="55"/>
      <c r="L46" s="56"/>
      <c r="M46" s="54"/>
      <c r="N46" s="54"/>
      <c r="O46" s="137"/>
      <c r="P46" s="139"/>
      <c r="S46" s="74"/>
      <c r="T46" s="74"/>
      <c r="U46" s="74"/>
      <c r="V46" s="74"/>
      <c r="W46" s="74"/>
      <c r="X46" s="74"/>
      <c r="Y46" s="74"/>
      <c r="AA46" s="196" t="str">
        <f t="shared" si="0"/>
        <v>-</v>
      </c>
      <c r="AB46" s="185" t="str">
        <f t="shared" si="11"/>
        <v>-</v>
      </c>
      <c r="AC46" s="353">
        <f t="shared" si="34"/>
        <v>43</v>
      </c>
      <c r="AD46" s="354"/>
      <c r="AE46" s="83" t="str">
        <f t="shared" si="12"/>
        <v>-</v>
      </c>
      <c r="AF46" s="84"/>
      <c r="AG46" s="355" t="str">
        <f t="shared" si="13"/>
        <v>-</v>
      </c>
      <c r="AH46" s="356"/>
      <c r="AI46" s="357" t="str">
        <f t="shared" si="16"/>
        <v>-</v>
      </c>
      <c r="AJ46" s="358"/>
      <c r="AK46" s="85">
        <f t="shared" ca="1" si="1"/>
        <v>47483</v>
      </c>
      <c r="AL46" s="353">
        <v>43</v>
      </c>
      <c r="AM46" s="354"/>
      <c r="AN46" s="86" t="e">
        <f t="shared" si="2"/>
        <v>#DIV/0!</v>
      </c>
      <c r="AO46" s="87"/>
      <c r="AP46" s="359" t="e">
        <f t="shared" ca="1" si="3"/>
        <v>#DIV/0!</v>
      </c>
      <c r="AQ46" s="360"/>
      <c r="AR46" s="361" t="e">
        <f t="shared" ca="1" si="4"/>
        <v>#DIV/0!</v>
      </c>
      <c r="AS46" s="362"/>
      <c r="AT46" s="87" t="e">
        <f t="shared" ca="1" si="14"/>
        <v>#DIV/0!</v>
      </c>
      <c r="AU46" s="75" t="str">
        <f t="shared" si="5"/>
        <v>-</v>
      </c>
      <c r="AZ46" s="284">
        <v>4.4999999999999997E-3</v>
      </c>
      <c r="BG46" s="246">
        <f t="shared" ca="1" si="17"/>
        <v>47483</v>
      </c>
      <c r="BH46" s="287" t="e">
        <f t="shared" si="35"/>
        <v>#VALUE!</v>
      </c>
      <c r="BI46" s="288"/>
      <c r="BJ46" s="247" t="e">
        <f t="shared" si="36"/>
        <v>#VALUE!</v>
      </c>
      <c r="BK46" s="248"/>
      <c r="BL46" s="251" t="e">
        <f t="shared" si="37"/>
        <v>#VALUE!</v>
      </c>
      <c r="BM46" s="248"/>
      <c r="BN46" s="249" t="e">
        <f t="shared" si="20"/>
        <v>#VALUE!</v>
      </c>
      <c r="BO46" s="250"/>
      <c r="BQ46" s="53" t="e">
        <f t="shared" si="6"/>
        <v>#VALUE!</v>
      </c>
      <c r="BR46" s="233" t="e">
        <f t="shared" si="7"/>
        <v>#VALUE!</v>
      </c>
      <c r="BS46" s="245" t="e">
        <f t="shared" si="8"/>
        <v>#VALUE!</v>
      </c>
      <c r="BT46" s="245" t="e">
        <f t="shared" si="9"/>
        <v>#DIV/0!</v>
      </c>
      <c r="BU46" s="280" t="e">
        <f t="shared" si="25"/>
        <v>#VALUE!</v>
      </c>
    </row>
    <row r="47" spans="1:73" ht="13.95" customHeight="1" thickBot="1" x14ac:dyDescent="0.35">
      <c r="A47" s="43"/>
      <c r="B47" s="314" t="str">
        <f t="shared" si="38"/>
        <v/>
      </c>
      <c r="C47" s="314"/>
      <c r="D47" s="205" t="str">
        <f t="shared" si="39"/>
        <v/>
      </c>
      <c r="E47" s="313" t="str">
        <f t="shared" si="40"/>
        <v/>
      </c>
      <c r="F47" s="313"/>
      <c r="G47" s="313" t="str">
        <f t="shared" si="41"/>
        <v/>
      </c>
      <c r="H47" s="313"/>
      <c r="I47" s="202"/>
      <c r="J47" s="113"/>
      <c r="K47" s="55"/>
      <c r="L47" s="55"/>
      <c r="M47" s="50"/>
      <c r="N47" s="138"/>
      <c r="O47" s="137"/>
      <c r="P47" s="139"/>
      <c r="Q47" s="62" t="str">
        <f>IF(E4&gt;=1500000,Q48,Q53)</f>
        <v>Сума кредиту не може бути менше 100 000 грн</v>
      </c>
      <c r="S47" s="74"/>
      <c r="T47" s="74"/>
      <c r="U47" s="74"/>
      <c r="V47" s="74"/>
      <c r="W47" s="74"/>
      <c r="X47" s="74"/>
      <c r="Y47" s="74"/>
      <c r="AA47" s="196" t="str">
        <f t="shared" si="0"/>
        <v>-</v>
      </c>
      <c r="AB47" s="185" t="str">
        <f t="shared" si="11"/>
        <v>-</v>
      </c>
      <c r="AC47" s="353">
        <f t="shared" si="34"/>
        <v>44</v>
      </c>
      <c r="AD47" s="354"/>
      <c r="AE47" s="83" t="str">
        <f t="shared" si="12"/>
        <v>-</v>
      </c>
      <c r="AF47" s="84"/>
      <c r="AG47" s="355" t="str">
        <f t="shared" si="13"/>
        <v>-</v>
      </c>
      <c r="AH47" s="356"/>
      <c r="AI47" s="357" t="str">
        <f t="shared" si="16"/>
        <v>-</v>
      </c>
      <c r="AJ47" s="358"/>
      <c r="AK47" s="85">
        <f t="shared" ca="1" si="1"/>
        <v>47514</v>
      </c>
      <c r="AL47" s="353">
        <v>44</v>
      </c>
      <c r="AM47" s="354"/>
      <c r="AN47" s="86" t="e">
        <f t="shared" si="2"/>
        <v>#DIV/0!</v>
      </c>
      <c r="AO47" s="87"/>
      <c r="AP47" s="359" t="e">
        <f t="shared" ca="1" si="3"/>
        <v>#DIV/0!</v>
      </c>
      <c r="AQ47" s="360"/>
      <c r="AR47" s="361" t="e">
        <f t="shared" ca="1" si="4"/>
        <v>#DIV/0!</v>
      </c>
      <c r="AS47" s="362"/>
      <c r="AT47" s="87" t="e">
        <f t="shared" ca="1" si="14"/>
        <v>#DIV/0!</v>
      </c>
      <c r="AU47" s="75" t="str">
        <f t="shared" si="5"/>
        <v>-</v>
      </c>
      <c r="AZ47" s="284">
        <v>4.5999999999999999E-3</v>
      </c>
      <c r="BG47" s="246">
        <f t="shared" ca="1" si="17"/>
        <v>47514</v>
      </c>
      <c r="BH47" s="287" t="e">
        <f t="shared" si="35"/>
        <v>#VALUE!</v>
      </c>
      <c r="BI47" s="288"/>
      <c r="BJ47" s="247" t="e">
        <f t="shared" si="36"/>
        <v>#VALUE!</v>
      </c>
      <c r="BK47" s="248"/>
      <c r="BL47" s="251" t="e">
        <f t="shared" si="37"/>
        <v>#VALUE!</v>
      </c>
      <c r="BM47" s="248"/>
      <c r="BN47" s="249" t="e">
        <f t="shared" si="20"/>
        <v>#VALUE!</v>
      </c>
      <c r="BO47" s="250"/>
      <c r="BQ47" s="53" t="e">
        <f t="shared" si="6"/>
        <v>#VALUE!</v>
      </c>
      <c r="BR47" s="233" t="e">
        <f t="shared" si="7"/>
        <v>#VALUE!</v>
      </c>
      <c r="BS47" s="245" t="e">
        <f t="shared" si="8"/>
        <v>#VALUE!</v>
      </c>
      <c r="BT47" s="245" t="e">
        <f t="shared" si="9"/>
        <v>#DIV/0!</v>
      </c>
      <c r="BU47" s="280" t="e">
        <f t="shared" si="25"/>
        <v>#VALUE!</v>
      </c>
    </row>
    <row r="48" spans="1:73" ht="13.95" customHeight="1" thickBot="1" x14ac:dyDescent="0.35">
      <c r="A48" s="43"/>
      <c r="B48" s="314" t="str">
        <f t="shared" si="38"/>
        <v/>
      </c>
      <c r="C48" s="314"/>
      <c r="D48" s="205" t="str">
        <f t="shared" si="39"/>
        <v/>
      </c>
      <c r="E48" s="313" t="str">
        <f t="shared" si="40"/>
        <v/>
      </c>
      <c r="F48" s="313"/>
      <c r="G48" s="313" t="str">
        <f t="shared" si="41"/>
        <v/>
      </c>
      <c r="H48" s="313"/>
      <c r="I48" s="202"/>
      <c r="J48" s="113"/>
      <c r="K48" s="55"/>
      <c r="L48" s="55"/>
      <c r="M48" s="50"/>
      <c r="N48" s="138"/>
      <c r="O48" s="137"/>
      <c r="P48" s="139"/>
      <c r="Q48" s="62" t="e">
        <f>IF(R9&gt;0.7,"Не достатня сума авансу",Q49)</f>
        <v>#DIV/0!</v>
      </c>
      <c r="S48" s="74"/>
      <c r="T48" s="74"/>
      <c r="U48" s="74"/>
      <c r="V48" s="74"/>
      <c r="W48" s="74"/>
      <c r="X48" s="74"/>
      <c r="Y48" s="74"/>
      <c r="AA48" s="196" t="str">
        <f t="shared" si="0"/>
        <v>-</v>
      </c>
      <c r="AB48" s="185" t="str">
        <f t="shared" si="11"/>
        <v>-</v>
      </c>
      <c r="AC48" s="353">
        <f t="shared" si="34"/>
        <v>45</v>
      </c>
      <c r="AD48" s="354"/>
      <c r="AE48" s="83" t="str">
        <f t="shared" si="12"/>
        <v>-</v>
      </c>
      <c r="AF48" s="84"/>
      <c r="AG48" s="355" t="str">
        <f t="shared" si="13"/>
        <v>-</v>
      </c>
      <c r="AH48" s="356"/>
      <c r="AI48" s="357" t="str">
        <f t="shared" si="16"/>
        <v>-</v>
      </c>
      <c r="AJ48" s="358"/>
      <c r="AK48" s="85">
        <f t="shared" ca="1" si="1"/>
        <v>47542</v>
      </c>
      <c r="AL48" s="353">
        <v>45</v>
      </c>
      <c r="AM48" s="354"/>
      <c r="AN48" s="86" t="e">
        <f t="shared" si="2"/>
        <v>#DIV/0!</v>
      </c>
      <c r="AO48" s="87"/>
      <c r="AP48" s="359" t="e">
        <f t="shared" ca="1" si="3"/>
        <v>#DIV/0!</v>
      </c>
      <c r="AQ48" s="360"/>
      <c r="AR48" s="361" t="e">
        <f t="shared" ca="1" si="4"/>
        <v>#DIV/0!</v>
      </c>
      <c r="AS48" s="362"/>
      <c r="AT48" s="87" t="e">
        <f t="shared" ca="1" si="14"/>
        <v>#DIV/0!</v>
      </c>
      <c r="AU48" s="75" t="str">
        <f t="shared" si="5"/>
        <v>-</v>
      </c>
      <c r="AZ48" s="284">
        <v>4.7000000000000002E-3</v>
      </c>
      <c r="BG48" s="246">
        <f t="shared" ca="1" si="17"/>
        <v>47542</v>
      </c>
      <c r="BH48" s="287" t="e">
        <f t="shared" si="35"/>
        <v>#VALUE!</v>
      </c>
      <c r="BI48" s="288"/>
      <c r="BJ48" s="247" t="e">
        <f>IF($BJ$4=0,BS47,BS48)</f>
        <v>#VALUE!</v>
      </c>
      <c r="BK48" s="248"/>
      <c r="BL48" s="251" t="e">
        <f>IF($AE$4=0,BR47,BR48)</f>
        <v>#VALUE!</v>
      </c>
      <c r="BM48" s="248"/>
      <c r="BN48" s="249" t="e">
        <f t="shared" si="20"/>
        <v>#VALUE!</v>
      </c>
      <c r="BO48" s="250"/>
      <c r="BQ48" s="53" t="e">
        <f t="shared" si="6"/>
        <v>#VALUE!</v>
      </c>
      <c r="BR48" s="233" t="e">
        <f t="shared" si="7"/>
        <v>#VALUE!</v>
      </c>
      <c r="BS48" s="245" t="e">
        <f t="shared" si="8"/>
        <v>#VALUE!</v>
      </c>
      <c r="BT48" s="245" t="e">
        <f t="shared" si="9"/>
        <v>#DIV/0!</v>
      </c>
      <c r="BU48" s="280" t="e">
        <f t="shared" si="25"/>
        <v>#VALUE!</v>
      </c>
    </row>
    <row r="49" spans="1:73" ht="13.95" customHeight="1" thickBot="1" x14ac:dyDescent="0.35">
      <c r="A49" s="43"/>
      <c r="B49" s="314" t="str">
        <f>IF(E12=24,"Всього:",IF(B48&lt;$E$12,B48+1,""))</f>
        <v/>
      </c>
      <c r="C49" s="314"/>
      <c r="D49" s="205" t="str">
        <f>IF(E12=24,SUM(D25:D48),IF(B48&lt;$E$12,IF($N$24="ні",AE28,BJ28),""))</f>
        <v/>
      </c>
      <c r="E49" s="313" t="str">
        <f>IF(E12=24,SUM(E25:F48),IF(B48&lt;$E$12,IF($N$24="ні",AG28,BL28),""))</f>
        <v/>
      </c>
      <c r="F49" s="313"/>
      <c r="G49" s="313" t="str">
        <f>IF(E12=24,SUM(G25:H48),IF(B48&lt;$E$12,IF($N$24="ні",AI28,BN28),""))</f>
        <v/>
      </c>
      <c r="H49" s="313"/>
      <c r="I49" s="202"/>
      <c r="J49" s="113"/>
      <c r="K49" s="55"/>
      <c r="L49" s="55"/>
      <c r="M49" s="50"/>
      <c r="N49" s="138"/>
      <c r="O49" s="137"/>
      <c r="Q49" s="62" t="str">
        <f>IF(E4&gt;=2500000,Q50,Q53)</f>
        <v>Сума кредиту не може бути менше 100 000 грн</v>
      </c>
      <c r="S49" s="74"/>
      <c r="T49" s="74"/>
      <c r="U49" s="74"/>
      <c r="V49" s="74"/>
      <c r="W49" s="74"/>
      <c r="X49" s="74"/>
      <c r="Y49" s="74"/>
      <c r="AA49" s="196" t="str">
        <f t="shared" si="0"/>
        <v>-</v>
      </c>
      <c r="AB49" s="185" t="str">
        <f t="shared" si="11"/>
        <v>-</v>
      </c>
      <c r="AC49" s="353">
        <f t="shared" si="34"/>
        <v>46</v>
      </c>
      <c r="AD49" s="354"/>
      <c r="AE49" s="83" t="str">
        <f t="shared" si="12"/>
        <v>-</v>
      </c>
      <c r="AF49" s="84"/>
      <c r="AG49" s="355" t="str">
        <f t="shared" si="13"/>
        <v>-</v>
      </c>
      <c r="AH49" s="356"/>
      <c r="AI49" s="357" t="str">
        <f t="shared" si="16"/>
        <v>-</v>
      </c>
      <c r="AJ49" s="358"/>
      <c r="AK49" s="85">
        <f t="shared" ca="1" si="1"/>
        <v>47573</v>
      </c>
      <c r="AL49" s="353">
        <v>46</v>
      </c>
      <c r="AM49" s="354"/>
      <c r="AN49" s="86" t="e">
        <f t="shared" si="2"/>
        <v>#DIV/0!</v>
      </c>
      <c r="AO49" s="87"/>
      <c r="AP49" s="359" t="e">
        <f t="shared" ca="1" si="3"/>
        <v>#DIV/0!</v>
      </c>
      <c r="AQ49" s="360"/>
      <c r="AR49" s="361" t="e">
        <f t="shared" ca="1" si="4"/>
        <v>#DIV/0!</v>
      </c>
      <c r="AS49" s="362"/>
      <c r="AT49" s="87" t="e">
        <f t="shared" ca="1" si="14"/>
        <v>#DIV/0!</v>
      </c>
      <c r="AU49" s="75" t="str">
        <f t="shared" si="5"/>
        <v>-</v>
      </c>
      <c r="AZ49" s="284">
        <v>4.7999999999999996E-3</v>
      </c>
      <c r="BG49" s="246">
        <f t="shared" ca="1" si="17"/>
        <v>47573</v>
      </c>
      <c r="BH49" s="287" t="e">
        <f t="shared" si="35"/>
        <v>#VALUE!</v>
      </c>
      <c r="BI49" s="288"/>
      <c r="BJ49" s="247" t="e">
        <f t="shared" ref="BJ49:BJ60" si="42">IF($BJ$4=0,BS48,BS49)</f>
        <v>#VALUE!</v>
      </c>
      <c r="BK49" s="248"/>
      <c r="BL49" s="251" t="e">
        <f t="shared" ref="BL49:BL60" si="43">IF($AE$4=0,BR48,BR49)</f>
        <v>#VALUE!</v>
      </c>
      <c r="BM49" s="248"/>
      <c r="BN49" s="249" t="e">
        <f t="shared" si="20"/>
        <v>#VALUE!</v>
      </c>
      <c r="BO49" s="250"/>
      <c r="BQ49" s="53" t="e">
        <f t="shared" si="6"/>
        <v>#VALUE!</v>
      </c>
      <c r="BR49" s="233" t="e">
        <f t="shared" si="7"/>
        <v>#VALUE!</v>
      </c>
      <c r="BS49" s="245" t="e">
        <f t="shared" si="8"/>
        <v>#VALUE!</v>
      </c>
      <c r="BT49" s="245" t="e">
        <f t="shared" si="9"/>
        <v>#DIV/0!</v>
      </c>
      <c r="BU49" s="280" t="e">
        <f t="shared" si="25"/>
        <v>#VALUE!</v>
      </c>
    </row>
    <row r="50" spans="1:73" ht="13.95" customHeight="1" thickBot="1" x14ac:dyDescent="0.35">
      <c r="A50" s="43"/>
      <c r="B50" s="314" t="str">
        <f t="shared" si="38"/>
        <v/>
      </c>
      <c r="C50" s="314"/>
      <c r="D50" s="205" t="str">
        <f t="shared" ref="D50:D60" si="44">IF(B49&lt;$E$12,IF($N$24="ні",AE29,BJ29),"")</f>
        <v/>
      </c>
      <c r="E50" s="313" t="str">
        <f t="shared" ref="E50:E60" si="45">IF(B49&lt;$E$12,IF($N$24="ні",AG29,BL29),"")</f>
        <v/>
      </c>
      <c r="F50" s="313"/>
      <c r="G50" s="313" t="str">
        <f t="shared" ref="G50:G60" si="46">IF(B49&lt;$E$12,IF($N$24="ні",AI29,BN29),"")</f>
        <v/>
      </c>
      <c r="H50" s="313"/>
      <c r="I50" s="202"/>
      <c r="J50" s="53"/>
      <c r="K50" s="55"/>
      <c r="L50" s="55"/>
      <c r="M50" s="50"/>
      <c r="N50" s="138"/>
      <c r="O50" s="137"/>
      <c r="Q50" s="62" t="e">
        <f>IF(R9&gt;0.6,"Не достатня сума авансу",Q53)</f>
        <v>#DIV/0!</v>
      </c>
      <c r="S50" s="74"/>
      <c r="AA50" s="196" t="str">
        <f t="shared" si="0"/>
        <v>-</v>
      </c>
      <c r="AB50" s="185" t="str">
        <f t="shared" si="11"/>
        <v>-</v>
      </c>
      <c r="AC50" s="353">
        <f t="shared" si="34"/>
        <v>47</v>
      </c>
      <c r="AD50" s="354"/>
      <c r="AE50" s="83" t="str">
        <f t="shared" si="12"/>
        <v>-</v>
      </c>
      <c r="AF50" s="84"/>
      <c r="AG50" s="355" t="str">
        <f t="shared" si="13"/>
        <v>-</v>
      </c>
      <c r="AH50" s="356"/>
      <c r="AI50" s="357" t="str">
        <f t="shared" si="16"/>
        <v>-</v>
      </c>
      <c r="AJ50" s="358"/>
      <c r="AK50" s="85">
        <f t="shared" ca="1" si="1"/>
        <v>47603</v>
      </c>
      <c r="AL50" s="353">
        <v>47</v>
      </c>
      <c r="AM50" s="354"/>
      <c r="AN50" s="86" t="e">
        <f t="shared" si="2"/>
        <v>#DIV/0!</v>
      </c>
      <c r="AO50" s="87"/>
      <c r="AP50" s="359" t="e">
        <f t="shared" ca="1" si="3"/>
        <v>#DIV/0!</v>
      </c>
      <c r="AQ50" s="360"/>
      <c r="AR50" s="361" t="e">
        <f t="shared" ca="1" si="4"/>
        <v>#DIV/0!</v>
      </c>
      <c r="AS50" s="362"/>
      <c r="AT50" s="87" t="e">
        <f t="shared" ca="1" si="14"/>
        <v>#DIV/0!</v>
      </c>
      <c r="AU50" s="75" t="str">
        <f t="shared" si="5"/>
        <v>-</v>
      </c>
      <c r="AZ50" s="284">
        <v>4.8999999999999998E-3</v>
      </c>
      <c r="BG50" s="246">
        <f t="shared" ca="1" si="17"/>
        <v>47603</v>
      </c>
      <c r="BH50" s="287" t="e">
        <f t="shared" si="35"/>
        <v>#VALUE!</v>
      </c>
      <c r="BI50" s="288"/>
      <c r="BJ50" s="247" t="e">
        <f t="shared" si="42"/>
        <v>#VALUE!</v>
      </c>
      <c r="BK50" s="248"/>
      <c r="BL50" s="251" t="e">
        <f t="shared" si="43"/>
        <v>#VALUE!</v>
      </c>
      <c r="BM50" s="248"/>
      <c r="BN50" s="249" t="e">
        <f t="shared" si="20"/>
        <v>#VALUE!</v>
      </c>
      <c r="BO50" s="250"/>
      <c r="BQ50" s="53" t="e">
        <f t="shared" si="6"/>
        <v>#VALUE!</v>
      </c>
      <c r="BR50" s="233" t="e">
        <f t="shared" si="7"/>
        <v>#VALUE!</v>
      </c>
      <c r="BS50" s="245" t="e">
        <f t="shared" si="8"/>
        <v>#VALUE!</v>
      </c>
      <c r="BT50" s="245" t="e">
        <f t="shared" si="9"/>
        <v>#DIV/0!</v>
      </c>
      <c r="BU50" s="280" t="e">
        <f t="shared" si="25"/>
        <v>#VALUE!</v>
      </c>
    </row>
    <row r="51" spans="1:73" ht="13.95" customHeight="1" thickBot="1" x14ac:dyDescent="0.35">
      <c r="A51" s="43"/>
      <c r="B51" s="314" t="str">
        <f t="shared" si="38"/>
        <v/>
      </c>
      <c r="C51" s="314"/>
      <c r="D51" s="205" t="str">
        <f t="shared" si="44"/>
        <v/>
      </c>
      <c r="E51" s="313" t="str">
        <f t="shared" si="45"/>
        <v/>
      </c>
      <c r="F51" s="313"/>
      <c r="G51" s="313" t="str">
        <f t="shared" si="46"/>
        <v/>
      </c>
      <c r="H51" s="313"/>
      <c r="I51" s="202"/>
      <c r="J51" s="53"/>
      <c r="K51" s="55"/>
      <c r="L51" s="55"/>
      <c r="M51" s="50"/>
      <c r="N51" s="138"/>
      <c r="O51" s="137"/>
      <c r="S51" s="74"/>
      <c r="AA51" s="196" t="str">
        <f>IFERROR(AI51+Z52,"-")</f>
        <v>-</v>
      </c>
      <c r="AB51" s="185" t="str">
        <f t="shared" si="11"/>
        <v>-</v>
      </c>
      <c r="AC51" s="353">
        <f t="shared" si="34"/>
        <v>48</v>
      </c>
      <c r="AD51" s="354"/>
      <c r="AE51" s="83" t="str">
        <f t="shared" si="12"/>
        <v>-</v>
      </c>
      <c r="AF51" s="84"/>
      <c r="AG51" s="355" t="str">
        <f t="shared" si="13"/>
        <v>-</v>
      </c>
      <c r="AH51" s="356"/>
      <c r="AI51" s="357" t="str">
        <f t="shared" si="16"/>
        <v>-</v>
      </c>
      <c r="AJ51" s="358"/>
      <c r="AK51" s="85">
        <f t="shared" ca="1" si="1"/>
        <v>47634</v>
      </c>
      <c r="AL51" s="353">
        <v>48</v>
      </c>
      <c r="AM51" s="354"/>
      <c r="AN51" s="86" t="e">
        <f t="shared" si="2"/>
        <v>#DIV/0!</v>
      </c>
      <c r="AO51" s="87"/>
      <c r="AP51" s="359" t="e">
        <f t="shared" ca="1" si="3"/>
        <v>#DIV/0!</v>
      </c>
      <c r="AQ51" s="360"/>
      <c r="AR51" s="361" t="e">
        <f t="shared" ca="1" si="4"/>
        <v>#DIV/0!</v>
      </c>
      <c r="AS51" s="362"/>
      <c r="AT51" s="87" t="e">
        <f t="shared" ca="1" si="14"/>
        <v>#DIV/0!</v>
      </c>
      <c r="AU51" s="75" t="str">
        <f t="shared" si="5"/>
        <v>-</v>
      </c>
      <c r="AZ51" s="284">
        <v>5.0000000000000001E-3</v>
      </c>
      <c r="BG51" s="246">
        <f t="shared" ca="1" si="17"/>
        <v>47634</v>
      </c>
      <c r="BH51" s="287" t="e">
        <f t="shared" si="35"/>
        <v>#VALUE!</v>
      </c>
      <c r="BI51" s="288"/>
      <c r="BJ51" s="247" t="e">
        <f t="shared" si="42"/>
        <v>#VALUE!</v>
      </c>
      <c r="BK51" s="248"/>
      <c r="BL51" s="251" t="e">
        <f t="shared" si="43"/>
        <v>#VALUE!</v>
      </c>
      <c r="BM51" s="248"/>
      <c r="BN51" s="249" t="e">
        <f t="shared" si="20"/>
        <v>#VALUE!</v>
      </c>
      <c r="BO51" s="250"/>
      <c r="BQ51" s="53" t="e">
        <f t="shared" si="6"/>
        <v>#VALUE!</v>
      </c>
      <c r="BR51" s="233" t="e">
        <f t="shared" si="7"/>
        <v>#VALUE!</v>
      </c>
      <c r="BS51" s="245" t="e">
        <f t="shared" si="8"/>
        <v>#VALUE!</v>
      </c>
      <c r="BT51" s="245" t="e">
        <f t="shared" si="9"/>
        <v>#DIV/0!</v>
      </c>
      <c r="BU51" s="280" t="str">
        <f>IFERROR(BN51+Z52,"-")</f>
        <v>-</v>
      </c>
    </row>
    <row r="52" spans="1:73" ht="13.95" customHeight="1" thickBot="1" x14ac:dyDescent="0.35">
      <c r="A52" s="43"/>
      <c r="B52" s="314" t="str">
        <f t="shared" si="38"/>
        <v/>
      </c>
      <c r="C52" s="314"/>
      <c r="D52" s="205" t="str">
        <f t="shared" si="44"/>
        <v/>
      </c>
      <c r="E52" s="313" t="str">
        <f t="shared" si="45"/>
        <v/>
      </c>
      <c r="F52" s="313"/>
      <c r="G52" s="313" t="str">
        <f t="shared" si="46"/>
        <v/>
      </c>
      <c r="H52" s="313"/>
      <c r="I52" s="202"/>
      <c r="J52" s="53"/>
      <c r="K52" s="140" t="s">
        <v>453</v>
      </c>
      <c r="L52" s="55"/>
      <c r="M52" s="54"/>
      <c r="N52" s="138"/>
      <c r="O52" s="137"/>
      <c r="S52" s="74"/>
      <c r="T52" s="74"/>
      <c r="U52" s="74"/>
      <c r="Z52" s="116">
        <f>IF($V$26&gt;AC52,$E$4*0.9*0.9*0.9*0.9*$T$33,0)</f>
        <v>0</v>
      </c>
      <c r="AA52" s="196" t="str">
        <f t="shared" si="0"/>
        <v>-</v>
      </c>
      <c r="AB52" s="185" t="str">
        <f t="shared" si="11"/>
        <v>-</v>
      </c>
      <c r="AC52" s="353">
        <f t="shared" si="34"/>
        <v>49</v>
      </c>
      <c r="AD52" s="354"/>
      <c r="AE52" s="83" t="str">
        <f t="shared" si="12"/>
        <v>-</v>
      </c>
      <c r="AF52" s="84"/>
      <c r="AG52" s="355" t="str">
        <f t="shared" si="13"/>
        <v>-</v>
      </c>
      <c r="AH52" s="356"/>
      <c r="AI52" s="357" t="str">
        <f t="shared" si="16"/>
        <v>-</v>
      </c>
      <c r="AJ52" s="358"/>
      <c r="AK52" s="85">
        <f t="shared" ca="1" si="1"/>
        <v>47664</v>
      </c>
      <c r="AL52" s="353">
        <v>49</v>
      </c>
      <c r="AM52" s="354"/>
      <c r="AN52" s="86" t="e">
        <f t="shared" si="2"/>
        <v>#DIV/0!</v>
      </c>
      <c r="AO52" s="87"/>
      <c r="AP52" s="359" t="e">
        <f t="shared" ca="1" si="3"/>
        <v>#DIV/0!</v>
      </c>
      <c r="AQ52" s="360"/>
      <c r="AR52" s="361" t="e">
        <f t="shared" ca="1" si="4"/>
        <v>#DIV/0!</v>
      </c>
      <c r="AS52" s="362"/>
      <c r="AT52" s="87" t="e">
        <f t="shared" ca="1" si="14"/>
        <v>#DIV/0!</v>
      </c>
      <c r="AU52" s="75" t="e">
        <f>AI52+AW52+AX52</f>
        <v>#VALUE!</v>
      </c>
      <c r="AW52" s="63" t="str">
        <f>IF($E$12&gt;$R$5,$E$4*0.9*0.9*0.9*0.9*5.5%,"")</f>
        <v/>
      </c>
      <c r="AX52" s="63" t="e">
        <f>IF(#REF!=0,0,IF($E$12&gt;$R$5,(AE90-SUM(AE4:AE51))*0.0299,""))</f>
        <v>#REF!</v>
      </c>
      <c r="AZ52" s="284">
        <v>5.1000000000000004E-3</v>
      </c>
      <c r="BG52" s="246">
        <f t="shared" ca="1" si="17"/>
        <v>47664</v>
      </c>
      <c r="BH52" s="287" t="e">
        <f t="shared" si="35"/>
        <v>#VALUE!</v>
      </c>
      <c r="BI52" s="288"/>
      <c r="BJ52" s="247" t="e">
        <f t="shared" si="42"/>
        <v>#VALUE!</v>
      </c>
      <c r="BK52" s="248"/>
      <c r="BL52" s="251" t="e">
        <f t="shared" si="43"/>
        <v>#VALUE!</v>
      </c>
      <c r="BM52" s="248"/>
      <c r="BN52" s="249" t="e">
        <f t="shared" si="20"/>
        <v>#VALUE!</v>
      </c>
      <c r="BO52" s="250"/>
      <c r="BQ52" s="53" t="e">
        <f t="shared" si="6"/>
        <v>#VALUE!</v>
      </c>
      <c r="BR52" s="233" t="e">
        <f t="shared" si="7"/>
        <v>#VALUE!</v>
      </c>
      <c r="BS52" s="245" t="e">
        <f t="shared" si="8"/>
        <v>#VALUE!</v>
      </c>
      <c r="BT52" s="245" t="e">
        <f t="shared" si="9"/>
        <v>#DIV/0!</v>
      </c>
      <c r="BU52" s="280" t="e">
        <f t="shared" si="25"/>
        <v>#VALUE!</v>
      </c>
    </row>
    <row r="53" spans="1:73" ht="13.95" customHeight="1" thickBot="1" x14ac:dyDescent="0.35">
      <c r="A53" s="43"/>
      <c r="B53" s="314" t="str">
        <f t="shared" si="38"/>
        <v/>
      </c>
      <c r="C53" s="314"/>
      <c r="D53" s="205" t="str">
        <f t="shared" si="44"/>
        <v/>
      </c>
      <c r="E53" s="313" t="str">
        <f t="shared" si="45"/>
        <v/>
      </c>
      <c r="F53" s="313"/>
      <c r="G53" s="313" t="str">
        <f t="shared" si="46"/>
        <v/>
      </c>
      <c r="H53" s="313"/>
      <c r="I53" s="202"/>
      <c r="J53" s="53"/>
      <c r="K53" s="141"/>
      <c r="L53" s="55"/>
      <c r="M53" s="54"/>
      <c r="N53" s="138"/>
      <c r="O53" s="137"/>
      <c r="Q53" s="62" t="str">
        <f>IF(X4=3,0,IF(R16&gt;2500000,"Сума кредиту не може перевищувати 2 500 000 грн",IF(R16&lt;100000,"Сума кредиту не може бути менше 100 000 грн",R16)))</f>
        <v>Сума кредиту не може бути менше 100 000 грн</v>
      </c>
      <c r="S53" s="74"/>
      <c r="AA53" s="196" t="str">
        <f t="shared" si="0"/>
        <v>-</v>
      </c>
      <c r="AB53" s="185" t="str">
        <f t="shared" si="11"/>
        <v>-</v>
      </c>
      <c r="AC53" s="353">
        <f t="shared" si="34"/>
        <v>50</v>
      </c>
      <c r="AD53" s="354"/>
      <c r="AE53" s="83" t="str">
        <f t="shared" si="12"/>
        <v>-</v>
      </c>
      <c r="AF53" s="84"/>
      <c r="AG53" s="355" t="str">
        <f t="shared" si="13"/>
        <v>-</v>
      </c>
      <c r="AH53" s="356"/>
      <c r="AI53" s="357" t="str">
        <f t="shared" si="16"/>
        <v>-</v>
      </c>
      <c r="AJ53" s="358"/>
      <c r="AK53" s="85">
        <f t="shared" ca="1" si="1"/>
        <v>47695</v>
      </c>
      <c r="AL53" s="353">
        <v>50</v>
      </c>
      <c r="AM53" s="354"/>
      <c r="AN53" s="86" t="e">
        <f t="shared" si="2"/>
        <v>#DIV/0!</v>
      </c>
      <c r="AO53" s="87"/>
      <c r="AP53" s="359" t="e">
        <f t="shared" ca="1" si="3"/>
        <v>#DIV/0!</v>
      </c>
      <c r="AQ53" s="360"/>
      <c r="AR53" s="361" t="e">
        <f t="shared" ca="1" si="4"/>
        <v>#DIV/0!</v>
      </c>
      <c r="AS53" s="362"/>
      <c r="AT53" s="87" t="e">
        <f t="shared" ca="1" si="14"/>
        <v>#DIV/0!</v>
      </c>
      <c r="AU53" s="75" t="str">
        <f t="shared" si="5"/>
        <v>-</v>
      </c>
      <c r="AZ53" s="284">
        <v>5.1999999999999998E-3</v>
      </c>
      <c r="BG53" s="246">
        <f t="shared" ca="1" si="17"/>
        <v>47695</v>
      </c>
      <c r="BH53" s="287" t="e">
        <f t="shared" si="35"/>
        <v>#VALUE!</v>
      </c>
      <c r="BI53" s="288"/>
      <c r="BJ53" s="247" t="e">
        <f t="shared" si="42"/>
        <v>#VALUE!</v>
      </c>
      <c r="BK53" s="248"/>
      <c r="BL53" s="251" t="e">
        <f t="shared" si="43"/>
        <v>#VALUE!</v>
      </c>
      <c r="BM53" s="248"/>
      <c r="BN53" s="249" t="e">
        <f t="shared" si="20"/>
        <v>#VALUE!</v>
      </c>
      <c r="BO53" s="250"/>
      <c r="BQ53" s="53" t="e">
        <f t="shared" si="6"/>
        <v>#VALUE!</v>
      </c>
      <c r="BR53" s="233" t="e">
        <f t="shared" si="7"/>
        <v>#VALUE!</v>
      </c>
      <c r="BS53" s="245" t="e">
        <f t="shared" si="8"/>
        <v>#VALUE!</v>
      </c>
      <c r="BT53" s="245" t="e">
        <f t="shared" si="9"/>
        <v>#DIV/0!</v>
      </c>
      <c r="BU53" s="280" t="e">
        <f t="shared" si="25"/>
        <v>#VALUE!</v>
      </c>
    </row>
    <row r="54" spans="1:73" ht="13.95" customHeight="1" thickBot="1" x14ac:dyDescent="0.35">
      <c r="A54" s="43"/>
      <c r="B54" s="314" t="str">
        <f t="shared" si="38"/>
        <v/>
      </c>
      <c r="C54" s="314"/>
      <c r="D54" s="205" t="str">
        <f t="shared" si="44"/>
        <v/>
      </c>
      <c r="E54" s="313" t="str">
        <f t="shared" si="45"/>
        <v/>
      </c>
      <c r="F54" s="313"/>
      <c r="G54" s="313" t="str">
        <f t="shared" si="46"/>
        <v/>
      </c>
      <c r="H54" s="313"/>
      <c r="I54" s="202"/>
      <c r="J54" s="53"/>
      <c r="K54" s="142"/>
      <c r="L54" s="55"/>
      <c r="M54" s="50"/>
      <c r="N54" s="138"/>
      <c r="O54" s="139"/>
      <c r="P54" s="139"/>
      <c r="S54" s="74"/>
      <c r="AA54" s="196" t="str">
        <f t="shared" si="0"/>
        <v>-</v>
      </c>
      <c r="AB54" s="185" t="str">
        <f t="shared" si="11"/>
        <v>-</v>
      </c>
      <c r="AC54" s="353">
        <f t="shared" si="34"/>
        <v>51</v>
      </c>
      <c r="AD54" s="354"/>
      <c r="AE54" s="83" t="str">
        <f t="shared" si="12"/>
        <v>-</v>
      </c>
      <c r="AF54" s="84"/>
      <c r="AG54" s="355" t="str">
        <f t="shared" si="13"/>
        <v>-</v>
      </c>
      <c r="AH54" s="356"/>
      <c r="AI54" s="357" t="str">
        <f t="shared" si="16"/>
        <v>-</v>
      </c>
      <c r="AJ54" s="358"/>
      <c r="AK54" s="85">
        <f t="shared" ca="1" si="1"/>
        <v>47726</v>
      </c>
      <c r="AL54" s="353">
        <v>51</v>
      </c>
      <c r="AM54" s="354"/>
      <c r="AN54" s="86" t="e">
        <f t="shared" si="2"/>
        <v>#DIV/0!</v>
      </c>
      <c r="AO54" s="87"/>
      <c r="AP54" s="359" t="e">
        <f t="shared" ca="1" si="3"/>
        <v>#DIV/0!</v>
      </c>
      <c r="AQ54" s="360"/>
      <c r="AR54" s="361" t="e">
        <f t="shared" ca="1" si="4"/>
        <v>#DIV/0!</v>
      </c>
      <c r="AS54" s="362"/>
      <c r="AT54" s="87" t="e">
        <f t="shared" ca="1" si="14"/>
        <v>#DIV/0!</v>
      </c>
      <c r="AU54" s="75" t="str">
        <f t="shared" si="5"/>
        <v>-</v>
      </c>
      <c r="AZ54" s="284">
        <v>5.3E-3</v>
      </c>
      <c r="BG54" s="246">
        <f t="shared" ca="1" si="17"/>
        <v>47726</v>
      </c>
      <c r="BH54" s="287" t="e">
        <f t="shared" si="35"/>
        <v>#VALUE!</v>
      </c>
      <c r="BI54" s="288"/>
      <c r="BJ54" s="247" t="e">
        <f t="shared" si="42"/>
        <v>#VALUE!</v>
      </c>
      <c r="BK54" s="248"/>
      <c r="BL54" s="251" t="e">
        <f t="shared" si="43"/>
        <v>#VALUE!</v>
      </c>
      <c r="BM54" s="248"/>
      <c r="BN54" s="249" t="e">
        <f t="shared" si="20"/>
        <v>#VALUE!</v>
      </c>
      <c r="BO54" s="250"/>
      <c r="BQ54" s="53" t="e">
        <f t="shared" si="6"/>
        <v>#VALUE!</v>
      </c>
      <c r="BR54" s="233" t="e">
        <f t="shared" si="7"/>
        <v>#VALUE!</v>
      </c>
      <c r="BS54" s="245" t="e">
        <f t="shared" si="8"/>
        <v>#VALUE!</v>
      </c>
      <c r="BT54" s="245" t="e">
        <f t="shared" si="9"/>
        <v>#DIV/0!</v>
      </c>
      <c r="BU54" s="280" t="e">
        <f t="shared" si="25"/>
        <v>#VALUE!</v>
      </c>
    </row>
    <row r="55" spans="1:73" ht="13.95" customHeight="1" thickBot="1" x14ac:dyDescent="0.35">
      <c r="A55" s="43"/>
      <c r="B55" s="314" t="str">
        <f t="shared" si="38"/>
        <v/>
      </c>
      <c r="C55" s="314"/>
      <c r="D55" s="205" t="str">
        <f t="shared" si="44"/>
        <v/>
      </c>
      <c r="E55" s="313" t="str">
        <f t="shared" si="45"/>
        <v/>
      </c>
      <c r="F55" s="313"/>
      <c r="G55" s="313" t="str">
        <f t="shared" si="46"/>
        <v/>
      </c>
      <c r="H55" s="313"/>
      <c r="I55" s="202"/>
      <c r="J55" s="113"/>
      <c r="K55" s="113"/>
      <c r="L55" s="55"/>
      <c r="M55" s="113"/>
      <c r="N55" s="113"/>
      <c r="O55" s="98"/>
      <c r="S55" s="74"/>
      <c r="AA55" s="196" t="str">
        <f t="shared" si="0"/>
        <v>-</v>
      </c>
      <c r="AB55" s="185" t="str">
        <f t="shared" si="11"/>
        <v>-</v>
      </c>
      <c r="AC55" s="353">
        <f t="shared" si="34"/>
        <v>52</v>
      </c>
      <c r="AD55" s="354"/>
      <c r="AE55" s="83" t="str">
        <f t="shared" si="12"/>
        <v>-</v>
      </c>
      <c r="AF55" s="84"/>
      <c r="AG55" s="355" t="str">
        <f t="shared" si="13"/>
        <v>-</v>
      </c>
      <c r="AH55" s="356"/>
      <c r="AI55" s="357" t="str">
        <f t="shared" si="16"/>
        <v>-</v>
      </c>
      <c r="AJ55" s="358"/>
      <c r="AK55" s="85">
        <f t="shared" ca="1" si="1"/>
        <v>47756</v>
      </c>
      <c r="AL55" s="353">
        <v>52</v>
      </c>
      <c r="AM55" s="354"/>
      <c r="AN55" s="86" t="e">
        <f t="shared" si="2"/>
        <v>#DIV/0!</v>
      </c>
      <c r="AO55" s="87"/>
      <c r="AP55" s="359" t="e">
        <f t="shared" ca="1" si="3"/>
        <v>#DIV/0!</v>
      </c>
      <c r="AQ55" s="360"/>
      <c r="AR55" s="361" t="e">
        <f t="shared" ca="1" si="4"/>
        <v>#DIV/0!</v>
      </c>
      <c r="AS55" s="362"/>
      <c r="AT55" s="87" t="e">
        <f t="shared" ca="1" si="14"/>
        <v>#DIV/0!</v>
      </c>
      <c r="AU55" s="75" t="str">
        <f t="shared" si="5"/>
        <v>-</v>
      </c>
      <c r="AZ55" s="284">
        <v>5.4000000000000003E-3</v>
      </c>
      <c r="BG55" s="246">
        <f t="shared" ca="1" si="17"/>
        <v>47756</v>
      </c>
      <c r="BH55" s="287" t="e">
        <f t="shared" si="35"/>
        <v>#VALUE!</v>
      </c>
      <c r="BI55" s="288"/>
      <c r="BJ55" s="247" t="e">
        <f t="shared" si="42"/>
        <v>#VALUE!</v>
      </c>
      <c r="BK55" s="248"/>
      <c r="BL55" s="251" t="e">
        <f t="shared" si="43"/>
        <v>#VALUE!</v>
      </c>
      <c r="BM55" s="248"/>
      <c r="BN55" s="249" t="e">
        <f t="shared" si="20"/>
        <v>#VALUE!</v>
      </c>
      <c r="BO55" s="250"/>
      <c r="BQ55" s="53" t="e">
        <f t="shared" si="6"/>
        <v>#VALUE!</v>
      </c>
      <c r="BR55" s="233" t="e">
        <f t="shared" si="7"/>
        <v>#VALUE!</v>
      </c>
      <c r="BS55" s="245" t="e">
        <f t="shared" si="8"/>
        <v>#VALUE!</v>
      </c>
      <c r="BT55" s="245" t="e">
        <f t="shared" si="9"/>
        <v>#DIV/0!</v>
      </c>
      <c r="BU55" s="280" t="e">
        <f t="shared" si="25"/>
        <v>#VALUE!</v>
      </c>
    </row>
    <row r="56" spans="1:73" ht="13.95" customHeight="1" thickBot="1" x14ac:dyDescent="0.35">
      <c r="A56" s="43"/>
      <c r="B56" s="314" t="str">
        <f t="shared" si="38"/>
        <v/>
      </c>
      <c r="C56" s="314"/>
      <c r="D56" s="205" t="str">
        <f t="shared" si="44"/>
        <v/>
      </c>
      <c r="E56" s="313" t="str">
        <f t="shared" si="45"/>
        <v/>
      </c>
      <c r="F56" s="313"/>
      <c r="G56" s="313" t="str">
        <f t="shared" si="46"/>
        <v/>
      </c>
      <c r="H56" s="313"/>
      <c r="I56" s="202"/>
      <c r="J56" s="53"/>
      <c r="K56" s="53"/>
      <c r="L56" s="53"/>
      <c r="M56" s="53"/>
      <c r="N56" s="50"/>
      <c r="O56" s="98"/>
      <c r="AA56" s="196" t="str">
        <f t="shared" si="0"/>
        <v>-</v>
      </c>
      <c r="AB56" s="185" t="str">
        <f t="shared" si="11"/>
        <v>-</v>
      </c>
      <c r="AC56" s="353">
        <f t="shared" si="34"/>
        <v>53</v>
      </c>
      <c r="AD56" s="354"/>
      <c r="AE56" s="83" t="str">
        <f t="shared" si="12"/>
        <v>-</v>
      </c>
      <c r="AF56" s="84"/>
      <c r="AG56" s="355" t="str">
        <f t="shared" si="13"/>
        <v>-</v>
      </c>
      <c r="AH56" s="356"/>
      <c r="AI56" s="357" t="str">
        <f t="shared" si="16"/>
        <v>-</v>
      </c>
      <c r="AJ56" s="358"/>
      <c r="AK56" s="85">
        <f t="shared" ca="1" si="1"/>
        <v>47787</v>
      </c>
      <c r="AL56" s="353">
        <v>53</v>
      </c>
      <c r="AM56" s="354"/>
      <c r="AN56" s="86" t="e">
        <f t="shared" si="2"/>
        <v>#DIV/0!</v>
      </c>
      <c r="AO56" s="87"/>
      <c r="AP56" s="359" t="e">
        <f t="shared" ca="1" si="3"/>
        <v>#DIV/0!</v>
      </c>
      <c r="AQ56" s="360"/>
      <c r="AR56" s="361" t="e">
        <f t="shared" ca="1" si="4"/>
        <v>#DIV/0!</v>
      </c>
      <c r="AS56" s="362"/>
      <c r="AT56" s="87" t="e">
        <f t="shared" ca="1" si="14"/>
        <v>#DIV/0!</v>
      </c>
      <c r="AU56" s="75" t="str">
        <f t="shared" si="5"/>
        <v>-</v>
      </c>
      <c r="AZ56" s="284">
        <v>5.4999999999999997E-3</v>
      </c>
      <c r="BG56" s="246">
        <f t="shared" ca="1" si="17"/>
        <v>47787</v>
      </c>
      <c r="BH56" s="287" t="e">
        <f t="shared" si="35"/>
        <v>#VALUE!</v>
      </c>
      <c r="BI56" s="288"/>
      <c r="BJ56" s="247" t="e">
        <f t="shared" si="42"/>
        <v>#VALUE!</v>
      </c>
      <c r="BK56" s="248"/>
      <c r="BL56" s="251" t="e">
        <f t="shared" si="43"/>
        <v>#VALUE!</v>
      </c>
      <c r="BM56" s="248"/>
      <c r="BN56" s="249" t="e">
        <f t="shared" si="20"/>
        <v>#VALUE!</v>
      </c>
      <c r="BO56" s="250"/>
      <c r="BQ56" s="53" t="e">
        <f t="shared" si="6"/>
        <v>#VALUE!</v>
      </c>
      <c r="BR56" s="233" t="e">
        <f t="shared" si="7"/>
        <v>#VALUE!</v>
      </c>
      <c r="BS56" s="245" t="e">
        <f t="shared" si="8"/>
        <v>#VALUE!</v>
      </c>
      <c r="BT56" s="245" t="e">
        <f t="shared" si="9"/>
        <v>#DIV/0!</v>
      </c>
      <c r="BU56" s="280" t="e">
        <f t="shared" si="25"/>
        <v>#VALUE!</v>
      </c>
    </row>
    <row r="57" spans="1:73" ht="13.95" customHeight="1" thickBot="1" x14ac:dyDescent="0.35">
      <c r="A57" s="43"/>
      <c r="B57" s="314" t="str">
        <f t="shared" si="38"/>
        <v/>
      </c>
      <c r="C57" s="314"/>
      <c r="D57" s="205" t="str">
        <f t="shared" si="44"/>
        <v/>
      </c>
      <c r="E57" s="313" t="str">
        <f t="shared" si="45"/>
        <v/>
      </c>
      <c r="F57" s="313"/>
      <c r="G57" s="313" t="str">
        <f t="shared" si="46"/>
        <v/>
      </c>
      <c r="H57" s="313"/>
      <c r="I57" s="202"/>
      <c r="J57" s="53"/>
      <c r="K57" s="53"/>
      <c r="L57" s="53"/>
      <c r="M57" s="53"/>
      <c r="N57" s="50"/>
      <c r="O57" s="98"/>
      <c r="AA57" s="196" t="str">
        <f t="shared" si="0"/>
        <v>-</v>
      </c>
      <c r="AB57" s="185" t="str">
        <f t="shared" si="11"/>
        <v>-</v>
      </c>
      <c r="AC57" s="353">
        <f t="shared" si="34"/>
        <v>54</v>
      </c>
      <c r="AD57" s="354"/>
      <c r="AE57" s="83" t="str">
        <f t="shared" si="12"/>
        <v>-</v>
      </c>
      <c r="AF57" s="84"/>
      <c r="AG57" s="355" t="str">
        <f t="shared" si="13"/>
        <v>-</v>
      </c>
      <c r="AH57" s="356"/>
      <c r="AI57" s="357" t="str">
        <f t="shared" si="16"/>
        <v>-</v>
      </c>
      <c r="AJ57" s="358"/>
      <c r="AK57" s="85">
        <f t="shared" ca="1" si="1"/>
        <v>47817</v>
      </c>
      <c r="AL57" s="353">
        <v>54</v>
      </c>
      <c r="AM57" s="354"/>
      <c r="AN57" s="86" t="e">
        <f t="shared" si="2"/>
        <v>#DIV/0!</v>
      </c>
      <c r="AO57" s="87"/>
      <c r="AP57" s="359" t="e">
        <f t="shared" ca="1" si="3"/>
        <v>#DIV/0!</v>
      </c>
      <c r="AQ57" s="360"/>
      <c r="AR57" s="361" t="e">
        <f t="shared" ca="1" si="4"/>
        <v>#DIV/0!</v>
      </c>
      <c r="AS57" s="362"/>
      <c r="AT57" s="87" t="e">
        <f t="shared" ca="1" si="14"/>
        <v>#DIV/0!</v>
      </c>
      <c r="AU57" s="75" t="str">
        <f t="shared" si="5"/>
        <v>-</v>
      </c>
      <c r="AZ57" s="284">
        <v>5.5999999999999999E-3</v>
      </c>
      <c r="BG57" s="246">
        <f t="shared" ca="1" si="17"/>
        <v>47817</v>
      </c>
      <c r="BH57" s="287" t="e">
        <f t="shared" si="35"/>
        <v>#VALUE!</v>
      </c>
      <c r="BI57" s="288"/>
      <c r="BJ57" s="247" t="e">
        <f t="shared" si="42"/>
        <v>#VALUE!</v>
      </c>
      <c r="BK57" s="248"/>
      <c r="BL57" s="251" t="e">
        <f t="shared" si="43"/>
        <v>#VALUE!</v>
      </c>
      <c r="BM57" s="248"/>
      <c r="BN57" s="249" t="e">
        <f t="shared" si="20"/>
        <v>#VALUE!</v>
      </c>
      <c r="BO57" s="250"/>
      <c r="BQ57" s="53" t="e">
        <f t="shared" si="6"/>
        <v>#VALUE!</v>
      </c>
      <c r="BR57" s="233" t="e">
        <f t="shared" si="7"/>
        <v>#VALUE!</v>
      </c>
      <c r="BS57" s="245" t="e">
        <f t="shared" si="8"/>
        <v>#VALUE!</v>
      </c>
      <c r="BT57" s="245" t="e">
        <f t="shared" si="9"/>
        <v>#DIV/0!</v>
      </c>
      <c r="BU57" s="280" t="e">
        <f t="shared" si="25"/>
        <v>#VALUE!</v>
      </c>
    </row>
    <row r="58" spans="1:73" ht="13.95" customHeight="1" thickBot="1" x14ac:dyDescent="0.35">
      <c r="A58" s="43"/>
      <c r="B58" s="314" t="str">
        <f t="shared" si="38"/>
        <v/>
      </c>
      <c r="C58" s="314"/>
      <c r="D58" s="205" t="str">
        <f t="shared" si="44"/>
        <v/>
      </c>
      <c r="E58" s="313" t="str">
        <f t="shared" si="45"/>
        <v/>
      </c>
      <c r="F58" s="313"/>
      <c r="G58" s="313" t="str">
        <f t="shared" si="46"/>
        <v/>
      </c>
      <c r="H58" s="313"/>
      <c r="I58" s="202"/>
      <c r="J58" s="53"/>
      <c r="K58" s="53"/>
      <c r="L58" s="53"/>
      <c r="M58" s="53"/>
      <c r="N58" s="50"/>
      <c r="O58" s="98"/>
      <c r="S58" s="74"/>
      <c r="AA58" s="196" t="str">
        <f t="shared" si="0"/>
        <v>-</v>
      </c>
      <c r="AB58" s="185" t="str">
        <f t="shared" si="11"/>
        <v>-</v>
      </c>
      <c r="AC58" s="353">
        <f t="shared" si="34"/>
        <v>55</v>
      </c>
      <c r="AD58" s="354"/>
      <c r="AE58" s="83" t="str">
        <f t="shared" si="12"/>
        <v>-</v>
      </c>
      <c r="AF58" s="84"/>
      <c r="AG58" s="355" t="str">
        <f t="shared" si="13"/>
        <v>-</v>
      </c>
      <c r="AH58" s="356"/>
      <c r="AI58" s="357" t="str">
        <f t="shared" si="16"/>
        <v>-</v>
      </c>
      <c r="AJ58" s="358"/>
      <c r="AK58" s="85">
        <f t="shared" ca="1" si="1"/>
        <v>47848</v>
      </c>
      <c r="AL58" s="353">
        <v>55</v>
      </c>
      <c r="AM58" s="354"/>
      <c r="AN58" s="86" t="e">
        <f t="shared" si="2"/>
        <v>#DIV/0!</v>
      </c>
      <c r="AO58" s="87"/>
      <c r="AP58" s="359" t="e">
        <f t="shared" ca="1" si="3"/>
        <v>#DIV/0!</v>
      </c>
      <c r="AQ58" s="360"/>
      <c r="AR58" s="361" t="e">
        <f t="shared" ca="1" si="4"/>
        <v>#DIV/0!</v>
      </c>
      <c r="AS58" s="362"/>
      <c r="AT58" s="87" t="e">
        <f t="shared" ca="1" si="14"/>
        <v>#DIV/0!</v>
      </c>
      <c r="AU58" s="75" t="str">
        <f t="shared" si="5"/>
        <v>-</v>
      </c>
      <c r="AZ58" s="284">
        <v>5.7000000000000002E-3</v>
      </c>
      <c r="BG58" s="246">
        <f t="shared" ca="1" si="17"/>
        <v>47848</v>
      </c>
      <c r="BH58" s="287" t="e">
        <f t="shared" si="35"/>
        <v>#VALUE!</v>
      </c>
      <c r="BI58" s="288"/>
      <c r="BJ58" s="247" t="e">
        <f t="shared" si="42"/>
        <v>#VALUE!</v>
      </c>
      <c r="BK58" s="248"/>
      <c r="BL58" s="251" t="e">
        <f t="shared" si="43"/>
        <v>#VALUE!</v>
      </c>
      <c r="BM58" s="248"/>
      <c r="BN58" s="249" t="e">
        <f t="shared" si="20"/>
        <v>#VALUE!</v>
      </c>
      <c r="BO58" s="250"/>
      <c r="BQ58" s="53" t="e">
        <f t="shared" si="6"/>
        <v>#VALUE!</v>
      </c>
      <c r="BR58" s="233" t="e">
        <f t="shared" si="7"/>
        <v>#VALUE!</v>
      </c>
      <c r="BS58" s="245" t="e">
        <f t="shared" si="8"/>
        <v>#VALUE!</v>
      </c>
      <c r="BT58" s="245" t="e">
        <f t="shared" si="9"/>
        <v>#DIV/0!</v>
      </c>
      <c r="BU58" s="280" t="e">
        <f t="shared" si="25"/>
        <v>#VALUE!</v>
      </c>
    </row>
    <row r="59" spans="1:73" ht="13.95" customHeight="1" thickBot="1" x14ac:dyDescent="0.35">
      <c r="A59" s="43"/>
      <c r="B59" s="314" t="str">
        <f t="shared" si="38"/>
        <v/>
      </c>
      <c r="C59" s="314"/>
      <c r="D59" s="205" t="str">
        <f t="shared" si="44"/>
        <v/>
      </c>
      <c r="E59" s="313" t="str">
        <f t="shared" si="45"/>
        <v/>
      </c>
      <c r="F59" s="313"/>
      <c r="G59" s="313" t="str">
        <f t="shared" si="46"/>
        <v/>
      </c>
      <c r="H59" s="313"/>
      <c r="I59" s="202"/>
      <c r="J59" s="53"/>
      <c r="K59" s="53"/>
      <c r="L59" s="53"/>
      <c r="M59" s="53"/>
      <c r="N59" s="50"/>
      <c r="O59" s="98"/>
      <c r="S59" s="74"/>
      <c r="AA59" s="196" t="str">
        <f t="shared" si="0"/>
        <v>-</v>
      </c>
      <c r="AB59" s="185" t="str">
        <f t="shared" si="11"/>
        <v>-</v>
      </c>
      <c r="AC59" s="353">
        <f t="shared" si="34"/>
        <v>56</v>
      </c>
      <c r="AD59" s="354"/>
      <c r="AE59" s="83" t="str">
        <f t="shared" si="12"/>
        <v>-</v>
      </c>
      <c r="AF59" s="84"/>
      <c r="AG59" s="355" t="str">
        <f t="shared" si="13"/>
        <v>-</v>
      </c>
      <c r="AH59" s="356"/>
      <c r="AI59" s="357" t="str">
        <f t="shared" si="16"/>
        <v>-</v>
      </c>
      <c r="AJ59" s="358"/>
      <c r="AK59" s="85">
        <f t="shared" ca="1" si="1"/>
        <v>47879</v>
      </c>
      <c r="AL59" s="353">
        <v>56</v>
      </c>
      <c r="AM59" s="354"/>
      <c r="AN59" s="86" t="e">
        <f t="shared" si="2"/>
        <v>#DIV/0!</v>
      </c>
      <c r="AO59" s="87"/>
      <c r="AP59" s="359" t="e">
        <f t="shared" ca="1" si="3"/>
        <v>#DIV/0!</v>
      </c>
      <c r="AQ59" s="360"/>
      <c r="AR59" s="361" t="e">
        <f t="shared" ca="1" si="4"/>
        <v>#DIV/0!</v>
      </c>
      <c r="AS59" s="362"/>
      <c r="AT59" s="87" t="e">
        <f t="shared" ca="1" si="14"/>
        <v>#DIV/0!</v>
      </c>
      <c r="AU59" s="75" t="str">
        <f t="shared" si="5"/>
        <v>-</v>
      </c>
      <c r="AZ59" s="284">
        <v>5.7999999999999996E-3</v>
      </c>
      <c r="BG59" s="246">
        <f t="shared" ca="1" si="17"/>
        <v>47879</v>
      </c>
      <c r="BH59" s="287" t="e">
        <f t="shared" si="35"/>
        <v>#VALUE!</v>
      </c>
      <c r="BI59" s="288"/>
      <c r="BJ59" s="247" t="e">
        <f t="shared" si="42"/>
        <v>#VALUE!</v>
      </c>
      <c r="BK59" s="248"/>
      <c r="BL59" s="251" t="e">
        <f t="shared" si="43"/>
        <v>#VALUE!</v>
      </c>
      <c r="BM59" s="248"/>
      <c r="BN59" s="249" t="e">
        <f t="shared" si="20"/>
        <v>#VALUE!</v>
      </c>
      <c r="BO59" s="250"/>
      <c r="BQ59" s="53" t="e">
        <f t="shared" si="6"/>
        <v>#VALUE!</v>
      </c>
      <c r="BR59" s="233" t="e">
        <f t="shared" si="7"/>
        <v>#VALUE!</v>
      </c>
      <c r="BS59" s="245" t="e">
        <f t="shared" si="8"/>
        <v>#VALUE!</v>
      </c>
      <c r="BT59" s="245" t="e">
        <f t="shared" si="9"/>
        <v>#DIV/0!</v>
      </c>
      <c r="BU59" s="280" t="e">
        <f t="shared" si="25"/>
        <v>#VALUE!</v>
      </c>
    </row>
    <row r="60" spans="1:73" ht="13.95" customHeight="1" thickBot="1" x14ac:dyDescent="0.35">
      <c r="A60" s="43"/>
      <c r="B60" s="314" t="str">
        <f t="shared" si="38"/>
        <v/>
      </c>
      <c r="C60" s="314"/>
      <c r="D60" s="205" t="str">
        <f t="shared" si="44"/>
        <v/>
      </c>
      <c r="E60" s="313" t="str">
        <f t="shared" si="45"/>
        <v/>
      </c>
      <c r="F60" s="313"/>
      <c r="G60" s="313" t="str">
        <f t="shared" si="46"/>
        <v/>
      </c>
      <c r="H60" s="313"/>
      <c r="I60" s="202"/>
      <c r="J60" s="53"/>
      <c r="K60" s="53"/>
      <c r="L60" s="53"/>
      <c r="M60" s="53"/>
      <c r="N60" s="50"/>
      <c r="O60" s="98"/>
      <c r="S60" s="74"/>
      <c r="T60" s="74"/>
      <c r="U60" s="74"/>
      <c r="V60" s="74"/>
      <c r="W60" s="74"/>
      <c r="X60" s="74"/>
      <c r="Y60" s="74"/>
      <c r="AA60" s="196" t="str">
        <f t="shared" si="0"/>
        <v>-</v>
      </c>
      <c r="AB60" s="185" t="str">
        <f t="shared" si="11"/>
        <v>-</v>
      </c>
      <c r="AC60" s="353">
        <f t="shared" si="34"/>
        <v>57</v>
      </c>
      <c r="AD60" s="354"/>
      <c r="AE60" s="83" t="str">
        <f t="shared" si="12"/>
        <v>-</v>
      </c>
      <c r="AF60" s="84"/>
      <c r="AG60" s="355" t="str">
        <f t="shared" si="13"/>
        <v>-</v>
      </c>
      <c r="AH60" s="356"/>
      <c r="AI60" s="357" t="str">
        <f t="shared" si="16"/>
        <v>-</v>
      </c>
      <c r="AJ60" s="358"/>
      <c r="AK60" s="85">
        <f t="shared" ca="1" si="1"/>
        <v>47907</v>
      </c>
      <c r="AL60" s="353">
        <v>57</v>
      </c>
      <c r="AM60" s="354"/>
      <c r="AN60" s="86" t="e">
        <f t="shared" si="2"/>
        <v>#DIV/0!</v>
      </c>
      <c r="AO60" s="87"/>
      <c r="AP60" s="359" t="e">
        <f t="shared" ca="1" si="3"/>
        <v>#DIV/0!</v>
      </c>
      <c r="AQ60" s="360"/>
      <c r="AR60" s="361" t="e">
        <f t="shared" ca="1" si="4"/>
        <v>#DIV/0!</v>
      </c>
      <c r="AS60" s="362"/>
      <c r="AT60" s="87" t="e">
        <f t="shared" ca="1" si="14"/>
        <v>#DIV/0!</v>
      </c>
      <c r="AU60" s="75" t="str">
        <f t="shared" si="5"/>
        <v>-</v>
      </c>
      <c r="AZ60" s="284">
        <v>5.8999999999999999E-3</v>
      </c>
      <c r="BG60" s="246">
        <f t="shared" ca="1" si="17"/>
        <v>47907</v>
      </c>
      <c r="BH60" s="287" t="e">
        <f t="shared" si="35"/>
        <v>#VALUE!</v>
      </c>
      <c r="BI60" s="288"/>
      <c r="BJ60" s="247" t="e">
        <f t="shared" si="42"/>
        <v>#VALUE!</v>
      </c>
      <c r="BK60" s="248"/>
      <c r="BL60" s="251" t="e">
        <f t="shared" si="43"/>
        <v>#VALUE!</v>
      </c>
      <c r="BM60" s="248"/>
      <c r="BN60" s="249" t="e">
        <f t="shared" si="20"/>
        <v>#VALUE!</v>
      </c>
      <c r="BO60" s="250"/>
      <c r="BQ60" s="53" t="e">
        <f t="shared" si="6"/>
        <v>#VALUE!</v>
      </c>
      <c r="BR60" s="233" t="e">
        <f t="shared" si="7"/>
        <v>#VALUE!</v>
      </c>
      <c r="BS60" s="245" t="e">
        <f t="shared" si="8"/>
        <v>#VALUE!</v>
      </c>
      <c r="BT60" s="245" t="e">
        <f t="shared" si="9"/>
        <v>#DIV/0!</v>
      </c>
      <c r="BU60" s="280" t="e">
        <f t="shared" si="25"/>
        <v>#VALUE!</v>
      </c>
    </row>
    <row r="61" spans="1:73" ht="13.95" customHeight="1" thickBot="1" x14ac:dyDescent="0.35">
      <c r="A61" s="43"/>
      <c r="B61" s="314" t="str">
        <f>IF(E12=36,"Всього:",IF(B60&lt;$E$12,B60+1,""))</f>
        <v/>
      </c>
      <c r="C61" s="314"/>
      <c r="D61" s="205" t="str">
        <f>IF(E12=36,SUM(D25:D60),IF(B60&lt;$E$12,IF($N$24="ні",AE40,BJ40),""))</f>
        <v/>
      </c>
      <c r="E61" s="313" t="str">
        <f>IF(E12=36,SUM(E25:F60),IF(B60&lt;$E$12,IF($N$24="ні",AG40,BL40),""))</f>
        <v/>
      </c>
      <c r="F61" s="313"/>
      <c r="G61" s="313" t="str">
        <f>IF(E12=36,SUM(G25:H60),IF(B60&lt;$E$12,IF($N$24="ні",AI40,BN40),""))</f>
        <v/>
      </c>
      <c r="H61" s="313"/>
      <c r="I61" s="202"/>
      <c r="J61" s="53"/>
      <c r="K61" s="53"/>
      <c r="L61" s="53"/>
      <c r="M61" s="53"/>
      <c r="N61" s="50"/>
      <c r="O61" s="98"/>
      <c r="S61" s="74"/>
      <c r="U61" s="143"/>
      <c r="V61" s="116"/>
      <c r="W61" s="116"/>
      <c r="X61" s="116"/>
      <c r="Y61" s="116"/>
      <c r="AA61" s="196" t="str">
        <f t="shared" si="0"/>
        <v>-</v>
      </c>
      <c r="AB61" s="185" t="str">
        <f t="shared" si="11"/>
        <v>-</v>
      </c>
      <c r="AC61" s="353">
        <f t="shared" si="34"/>
        <v>58</v>
      </c>
      <c r="AD61" s="354"/>
      <c r="AE61" s="83" t="str">
        <f t="shared" si="12"/>
        <v>-</v>
      </c>
      <c r="AF61" s="84"/>
      <c r="AG61" s="355" t="str">
        <f t="shared" si="13"/>
        <v>-</v>
      </c>
      <c r="AH61" s="356"/>
      <c r="AI61" s="357" t="str">
        <f t="shared" si="16"/>
        <v>-</v>
      </c>
      <c r="AJ61" s="358"/>
      <c r="AK61" s="85">
        <f t="shared" ca="1" si="1"/>
        <v>47938</v>
      </c>
      <c r="AL61" s="353">
        <v>58</v>
      </c>
      <c r="AM61" s="354"/>
      <c r="AN61" s="86" t="e">
        <f t="shared" si="2"/>
        <v>#DIV/0!</v>
      </c>
      <c r="AO61" s="87"/>
      <c r="AP61" s="359" t="e">
        <f t="shared" ca="1" si="3"/>
        <v>#DIV/0!</v>
      </c>
      <c r="AQ61" s="360"/>
      <c r="AR61" s="361" t="e">
        <f t="shared" ca="1" si="4"/>
        <v>#DIV/0!</v>
      </c>
      <c r="AS61" s="362"/>
      <c r="AT61" s="87" t="e">
        <f t="shared" ca="1" si="14"/>
        <v>#DIV/0!</v>
      </c>
      <c r="AU61" s="75" t="str">
        <f t="shared" si="5"/>
        <v>-</v>
      </c>
      <c r="AZ61" s="284">
        <v>6.0000000000000001E-3</v>
      </c>
      <c r="BG61" s="246">
        <f t="shared" ca="1" si="17"/>
        <v>47938</v>
      </c>
      <c r="BH61" s="287" t="e">
        <f t="shared" si="35"/>
        <v>#VALUE!</v>
      </c>
      <c r="BI61" s="288"/>
      <c r="BJ61" s="247" t="e">
        <f>IF($BJ$4=0,BS60,BS61)</f>
        <v>#VALUE!</v>
      </c>
      <c r="BK61" s="248"/>
      <c r="BL61" s="251" t="e">
        <f>IF($AE$4=0,BR60,BR61)</f>
        <v>#VALUE!</v>
      </c>
      <c r="BM61" s="248"/>
      <c r="BN61" s="249" t="e">
        <f t="shared" si="20"/>
        <v>#VALUE!</v>
      </c>
      <c r="BO61" s="250"/>
      <c r="BQ61" s="53" t="e">
        <f t="shared" si="6"/>
        <v>#VALUE!</v>
      </c>
      <c r="BR61" s="233" t="e">
        <f t="shared" si="7"/>
        <v>#VALUE!</v>
      </c>
      <c r="BS61" s="245" t="e">
        <f t="shared" si="8"/>
        <v>#VALUE!</v>
      </c>
      <c r="BT61" s="245" t="e">
        <f t="shared" si="9"/>
        <v>#DIV/0!</v>
      </c>
      <c r="BU61" s="280" t="e">
        <f t="shared" si="25"/>
        <v>#VALUE!</v>
      </c>
    </row>
    <row r="62" spans="1:73" ht="13.95" customHeight="1" thickBot="1" x14ac:dyDescent="0.35">
      <c r="A62" s="43"/>
      <c r="B62" s="314" t="str">
        <f t="shared" si="38"/>
        <v/>
      </c>
      <c r="C62" s="314"/>
      <c r="D62" s="205" t="str">
        <f t="shared" ref="D62:D72" si="47">IF(B61&lt;$E$12,IF($N$24="ні",AE41,BJ41),"")</f>
        <v/>
      </c>
      <c r="E62" s="313" t="str">
        <f t="shared" ref="E62:E72" si="48">IF(B61&lt;$E$12,IF($N$24="ні",AG41,BL41),"")</f>
        <v/>
      </c>
      <c r="F62" s="313"/>
      <c r="G62" s="313" t="str">
        <f t="shared" ref="G62:G72" si="49">IF(B61&lt;$E$12,IF($N$24="ні",AI41,BN41),"")</f>
        <v/>
      </c>
      <c r="H62" s="313"/>
      <c r="I62" s="202"/>
      <c r="J62" s="53"/>
      <c r="K62" s="53"/>
      <c r="L62" s="53"/>
      <c r="M62" s="53"/>
      <c r="N62" s="50"/>
      <c r="O62" s="98"/>
      <c r="S62" s="74"/>
      <c r="W62" s="116"/>
      <c r="X62" s="116"/>
      <c r="AA62" s="196" t="str">
        <f t="shared" si="0"/>
        <v>-</v>
      </c>
      <c r="AB62" s="185" t="str">
        <f t="shared" si="11"/>
        <v>-</v>
      </c>
      <c r="AC62" s="353">
        <f t="shared" si="34"/>
        <v>59</v>
      </c>
      <c r="AD62" s="354"/>
      <c r="AE62" s="83" t="str">
        <f t="shared" si="12"/>
        <v>-</v>
      </c>
      <c r="AF62" s="84"/>
      <c r="AG62" s="355" t="str">
        <f t="shared" si="13"/>
        <v>-</v>
      </c>
      <c r="AH62" s="356"/>
      <c r="AI62" s="357" t="str">
        <f t="shared" si="16"/>
        <v>-</v>
      </c>
      <c r="AJ62" s="358"/>
      <c r="AK62" s="85">
        <f t="shared" ca="1" si="1"/>
        <v>47968</v>
      </c>
      <c r="AL62" s="353">
        <v>59</v>
      </c>
      <c r="AM62" s="354"/>
      <c r="AN62" s="86" t="e">
        <f t="shared" si="2"/>
        <v>#DIV/0!</v>
      </c>
      <c r="AO62" s="87"/>
      <c r="AP62" s="359" t="e">
        <f t="shared" ca="1" si="3"/>
        <v>#DIV/0!</v>
      </c>
      <c r="AQ62" s="360"/>
      <c r="AR62" s="361" t="e">
        <f t="shared" ca="1" si="4"/>
        <v>#DIV/0!</v>
      </c>
      <c r="AS62" s="362"/>
      <c r="AT62" s="87" t="e">
        <f t="shared" ca="1" si="14"/>
        <v>#DIV/0!</v>
      </c>
      <c r="AU62" s="75" t="str">
        <f t="shared" si="5"/>
        <v>-</v>
      </c>
      <c r="AZ62" s="284">
        <v>6.1000000000000004E-3</v>
      </c>
      <c r="BG62" s="246">
        <f t="shared" ca="1" si="17"/>
        <v>47968</v>
      </c>
      <c r="BH62" s="287" t="e">
        <f t="shared" ref="BH62:BH88" si="50">IF($E$12&gt;=BH61,BH61+1,"")</f>
        <v>#VALUE!</v>
      </c>
      <c r="BI62" s="288"/>
      <c r="BJ62" s="247" t="e">
        <f t="shared" ref="BJ62:BJ74" si="51">IF($BJ$4=0,BS61,BS62)</f>
        <v>#VALUE!</v>
      </c>
      <c r="BK62" s="248"/>
      <c r="BL62" s="251" t="e">
        <f t="shared" ref="BL62:BL74" si="52">IF($AE$4=0,BR61,BR62)</f>
        <v>#VALUE!</v>
      </c>
      <c r="BM62" s="248"/>
      <c r="BN62" s="249" t="e">
        <f t="shared" si="20"/>
        <v>#VALUE!</v>
      </c>
      <c r="BO62" s="250"/>
      <c r="BQ62" s="53" t="e">
        <f t="shared" si="6"/>
        <v>#VALUE!</v>
      </c>
      <c r="BR62" s="233" t="e">
        <f t="shared" si="7"/>
        <v>#VALUE!</v>
      </c>
      <c r="BS62" s="245" t="e">
        <f t="shared" si="8"/>
        <v>#VALUE!</v>
      </c>
      <c r="BT62" s="245" t="e">
        <f t="shared" si="9"/>
        <v>#DIV/0!</v>
      </c>
      <c r="BU62" s="280" t="e">
        <f t="shared" si="25"/>
        <v>#VALUE!</v>
      </c>
    </row>
    <row r="63" spans="1:73" ht="13.95" customHeight="1" thickBot="1" x14ac:dyDescent="0.35">
      <c r="A63" s="43"/>
      <c r="B63" s="314" t="str">
        <f t="shared" si="38"/>
        <v/>
      </c>
      <c r="C63" s="314"/>
      <c r="D63" s="205" t="str">
        <f t="shared" si="47"/>
        <v/>
      </c>
      <c r="E63" s="313" t="str">
        <f t="shared" si="48"/>
        <v/>
      </c>
      <c r="F63" s="313"/>
      <c r="G63" s="313" t="str">
        <f t="shared" si="49"/>
        <v/>
      </c>
      <c r="H63" s="313"/>
      <c r="I63" s="202"/>
      <c r="J63" s="53"/>
      <c r="K63" s="53"/>
      <c r="L63" s="53"/>
      <c r="M63" s="53"/>
      <c r="N63" s="50"/>
      <c r="O63" s="98"/>
      <c r="S63" s="74"/>
      <c r="AA63" s="196" t="str">
        <f>IFERROR(AI63+Z64,"-")</f>
        <v>-</v>
      </c>
      <c r="AB63" s="185" t="str">
        <f t="shared" si="11"/>
        <v>-</v>
      </c>
      <c r="AC63" s="353">
        <f t="shared" si="34"/>
        <v>60</v>
      </c>
      <c r="AD63" s="354"/>
      <c r="AE63" s="83" t="str">
        <f t="shared" si="12"/>
        <v>-</v>
      </c>
      <c r="AF63" s="84"/>
      <c r="AG63" s="355" t="str">
        <f t="shared" si="13"/>
        <v>-</v>
      </c>
      <c r="AH63" s="356"/>
      <c r="AI63" s="357" t="str">
        <f t="shared" si="16"/>
        <v>-</v>
      </c>
      <c r="AJ63" s="358"/>
      <c r="AK63" s="85">
        <f t="shared" ca="1" si="1"/>
        <v>47999</v>
      </c>
      <c r="AL63" s="353">
        <v>60</v>
      </c>
      <c r="AM63" s="354"/>
      <c r="AN63" s="86" t="e">
        <f t="shared" si="2"/>
        <v>#DIV/0!</v>
      </c>
      <c r="AO63" s="87"/>
      <c r="AP63" s="359" t="e">
        <f t="shared" ca="1" si="3"/>
        <v>#DIV/0!</v>
      </c>
      <c r="AQ63" s="360"/>
      <c r="AR63" s="361" t="e">
        <f t="shared" ca="1" si="4"/>
        <v>#DIV/0!</v>
      </c>
      <c r="AS63" s="362"/>
      <c r="AT63" s="87" t="e">
        <f t="shared" ca="1" si="14"/>
        <v>#DIV/0!</v>
      </c>
      <c r="AU63" s="75" t="str">
        <f t="shared" si="5"/>
        <v>-</v>
      </c>
      <c r="AZ63" s="284">
        <v>6.1999999999999998E-3</v>
      </c>
      <c r="BG63" s="246">
        <f t="shared" ca="1" si="17"/>
        <v>47999</v>
      </c>
      <c r="BH63" s="287" t="e">
        <f t="shared" si="50"/>
        <v>#VALUE!</v>
      </c>
      <c r="BI63" s="288"/>
      <c r="BJ63" s="247" t="e">
        <f t="shared" si="51"/>
        <v>#VALUE!</v>
      </c>
      <c r="BK63" s="248"/>
      <c r="BL63" s="251" t="e">
        <f t="shared" si="52"/>
        <v>#VALUE!</v>
      </c>
      <c r="BM63" s="248"/>
      <c r="BN63" s="249" t="e">
        <f t="shared" si="20"/>
        <v>#VALUE!</v>
      </c>
      <c r="BO63" s="250"/>
      <c r="BQ63" s="53" t="e">
        <f t="shared" si="6"/>
        <v>#VALUE!</v>
      </c>
      <c r="BR63" s="233" t="e">
        <f t="shared" si="7"/>
        <v>#VALUE!</v>
      </c>
      <c r="BS63" s="245" t="e">
        <f t="shared" si="8"/>
        <v>#VALUE!</v>
      </c>
      <c r="BT63" s="245" t="e">
        <f t="shared" si="9"/>
        <v>#DIV/0!</v>
      </c>
      <c r="BU63" s="280" t="str">
        <f>IFERROR(BN63+Z64,"-")</f>
        <v>-</v>
      </c>
    </row>
    <row r="64" spans="1:73" ht="13.95" customHeight="1" thickBot="1" x14ac:dyDescent="0.35">
      <c r="A64" s="43"/>
      <c r="B64" s="314" t="str">
        <f t="shared" si="38"/>
        <v/>
      </c>
      <c r="C64" s="314"/>
      <c r="D64" s="205" t="str">
        <f t="shared" si="47"/>
        <v/>
      </c>
      <c r="E64" s="313" t="str">
        <f t="shared" si="48"/>
        <v/>
      </c>
      <c r="F64" s="313"/>
      <c r="G64" s="313" t="str">
        <f t="shared" si="49"/>
        <v/>
      </c>
      <c r="H64" s="313"/>
      <c r="I64" s="202"/>
      <c r="J64" s="53"/>
      <c r="K64" s="53"/>
      <c r="L64" s="53"/>
      <c r="M64" s="53"/>
      <c r="N64" s="50"/>
      <c r="O64" s="98"/>
      <c r="S64" s="74"/>
      <c r="Z64" s="116">
        <f>IF($V$26&gt;AC64,$E$4*0.9*0.9*0.9*0.9*0.9*$T$33,0)</f>
        <v>0</v>
      </c>
      <c r="AA64" s="196" t="str">
        <f t="shared" si="0"/>
        <v>-</v>
      </c>
      <c r="AB64" s="185" t="str">
        <f t="shared" si="11"/>
        <v>-</v>
      </c>
      <c r="AC64" s="353">
        <f t="shared" si="34"/>
        <v>61</v>
      </c>
      <c r="AD64" s="354"/>
      <c r="AE64" s="83" t="str">
        <f t="shared" si="12"/>
        <v>-</v>
      </c>
      <c r="AF64" s="84"/>
      <c r="AG64" s="355" t="str">
        <f t="shared" si="13"/>
        <v>-</v>
      </c>
      <c r="AH64" s="356"/>
      <c r="AI64" s="357" t="str">
        <f t="shared" si="16"/>
        <v>-</v>
      </c>
      <c r="AJ64" s="358"/>
      <c r="AK64" s="85">
        <f t="shared" ca="1" si="1"/>
        <v>48029</v>
      </c>
      <c r="AL64" s="353">
        <v>61</v>
      </c>
      <c r="AM64" s="354"/>
      <c r="AN64" s="86" t="e">
        <f t="shared" si="2"/>
        <v>#DIV/0!</v>
      </c>
      <c r="AO64" s="87"/>
      <c r="AP64" s="359" t="e">
        <f t="shared" ca="1" si="3"/>
        <v>#DIV/0!</v>
      </c>
      <c r="AQ64" s="360"/>
      <c r="AR64" s="361" t="e">
        <f t="shared" ca="1" si="4"/>
        <v>#DIV/0!</v>
      </c>
      <c r="AS64" s="362"/>
      <c r="AT64" s="87" t="e">
        <f t="shared" ca="1" si="14"/>
        <v>#DIV/0!</v>
      </c>
      <c r="AU64" s="75" t="e">
        <f>AI64+AW64+AX64</f>
        <v>#VALUE!</v>
      </c>
      <c r="AW64" s="63" t="str">
        <f>IF($E$12&gt;$R$6,$E$4*0.9*0.9*0.9*0.9*0.9*5.5%,"")</f>
        <v/>
      </c>
      <c r="AX64" s="63" t="e">
        <f>IF(#REF!=0,0,IF($E$12&gt;$R$6,(AE90-SUM(AE4:AE63))*0.0299,""))</f>
        <v>#REF!</v>
      </c>
      <c r="AZ64" s="284">
        <v>6.3E-3</v>
      </c>
      <c r="BG64" s="246">
        <f t="shared" ca="1" si="17"/>
        <v>48029</v>
      </c>
      <c r="BH64" s="287" t="e">
        <f t="shared" si="50"/>
        <v>#VALUE!</v>
      </c>
      <c r="BI64" s="288"/>
      <c r="BJ64" s="247" t="e">
        <f t="shared" si="51"/>
        <v>#VALUE!</v>
      </c>
      <c r="BK64" s="248"/>
      <c r="BL64" s="251" t="e">
        <f t="shared" si="52"/>
        <v>#VALUE!</v>
      </c>
      <c r="BM64" s="248"/>
      <c r="BN64" s="249" t="e">
        <f t="shared" si="20"/>
        <v>#VALUE!</v>
      </c>
      <c r="BO64" s="250"/>
      <c r="BQ64" s="53" t="e">
        <f t="shared" si="6"/>
        <v>#VALUE!</v>
      </c>
      <c r="BR64" s="233" t="e">
        <f t="shared" si="7"/>
        <v>#VALUE!</v>
      </c>
      <c r="BS64" s="245" t="e">
        <f t="shared" si="8"/>
        <v>#VALUE!</v>
      </c>
      <c r="BT64" s="245" t="e">
        <f t="shared" si="9"/>
        <v>#DIV/0!</v>
      </c>
      <c r="BU64" s="280" t="e">
        <f t="shared" si="25"/>
        <v>#VALUE!</v>
      </c>
    </row>
    <row r="65" spans="1:73" ht="13.95" customHeight="1" thickBot="1" x14ac:dyDescent="0.35">
      <c r="A65" s="43"/>
      <c r="B65" s="314" t="str">
        <f t="shared" si="38"/>
        <v/>
      </c>
      <c r="C65" s="314"/>
      <c r="D65" s="205" t="str">
        <f t="shared" si="47"/>
        <v/>
      </c>
      <c r="E65" s="313" t="str">
        <f t="shared" si="48"/>
        <v/>
      </c>
      <c r="F65" s="313"/>
      <c r="G65" s="313" t="str">
        <f t="shared" si="49"/>
        <v/>
      </c>
      <c r="H65" s="313"/>
      <c r="I65" s="202"/>
      <c r="J65" s="53"/>
      <c r="K65" s="53"/>
      <c r="L65" s="53"/>
      <c r="M65" s="53"/>
      <c r="N65" s="50"/>
      <c r="O65" s="98"/>
      <c r="S65" s="74"/>
      <c r="AA65" s="196" t="str">
        <f t="shared" si="0"/>
        <v>-</v>
      </c>
      <c r="AB65" s="185" t="str">
        <f t="shared" si="11"/>
        <v>-</v>
      </c>
      <c r="AC65" s="353">
        <f t="shared" si="34"/>
        <v>62</v>
      </c>
      <c r="AD65" s="354"/>
      <c r="AE65" s="83" t="str">
        <f t="shared" si="12"/>
        <v>-</v>
      </c>
      <c r="AF65" s="84"/>
      <c r="AG65" s="355" t="str">
        <f t="shared" si="13"/>
        <v>-</v>
      </c>
      <c r="AH65" s="356"/>
      <c r="AI65" s="357" t="str">
        <f t="shared" si="16"/>
        <v>-</v>
      </c>
      <c r="AJ65" s="358"/>
      <c r="AK65" s="85">
        <f t="shared" ca="1" si="1"/>
        <v>48060</v>
      </c>
      <c r="AL65" s="353">
        <v>62</v>
      </c>
      <c r="AM65" s="354"/>
      <c r="AN65" s="86" t="e">
        <f t="shared" si="2"/>
        <v>#DIV/0!</v>
      </c>
      <c r="AO65" s="87"/>
      <c r="AP65" s="359" t="e">
        <f t="shared" ca="1" si="3"/>
        <v>#DIV/0!</v>
      </c>
      <c r="AQ65" s="360"/>
      <c r="AR65" s="361" t="e">
        <f t="shared" ca="1" si="4"/>
        <v>#DIV/0!</v>
      </c>
      <c r="AS65" s="362"/>
      <c r="AT65" s="87" t="e">
        <f t="shared" ca="1" si="14"/>
        <v>#DIV/0!</v>
      </c>
      <c r="AU65" s="75" t="str">
        <f t="shared" si="5"/>
        <v>-</v>
      </c>
      <c r="AZ65" s="284">
        <v>6.4000000000000003E-3</v>
      </c>
      <c r="BG65" s="246">
        <f t="shared" ca="1" si="17"/>
        <v>48060</v>
      </c>
      <c r="BH65" s="287" t="e">
        <f t="shared" si="50"/>
        <v>#VALUE!</v>
      </c>
      <c r="BI65" s="288"/>
      <c r="BJ65" s="247" t="e">
        <f t="shared" si="51"/>
        <v>#VALUE!</v>
      </c>
      <c r="BK65" s="248"/>
      <c r="BL65" s="251" t="e">
        <f t="shared" si="52"/>
        <v>#VALUE!</v>
      </c>
      <c r="BM65" s="248"/>
      <c r="BN65" s="249" t="e">
        <f t="shared" si="20"/>
        <v>#VALUE!</v>
      </c>
      <c r="BO65" s="250"/>
      <c r="BQ65" s="53" t="e">
        <f t="shared" si="6"/>
        <v>#VALUE!</v>
      </c>
      <c r="BR65" s="233" t="e">
        <f t="shared" si="7"/>
        <v>#VALUE!</v>
      </c>
      <c r="BS65" s="245" t="e">
        <f t="shared" si="8"/>
        <v>#VALUE!</v>
      </c>
      <c r="BT65" s="245" t="e">
        <f t="shared" si="9"/>
        <v>#DIV/0!</v>
      </c>
      <c r="BU65" s="280" t="e">
        <f t="shared" si="25"/>
        <v>#VALUE!</v>
      </c>
    </row>
    <row r="66" spans="1:73" ht="13.95" customHeight="1" thickBot="1" x14ac:dyDescent="0.35">
      <c r="A66" s="43"/>
      <c r="B66" s="314" t="str">
        <f t="shared" si="38"/>
        <v/>
      </c>
      <c r="C66" s="314"/>
      <c r="D66" s="205" t="str">
        <f t="shared" si="47"/>
        <v/>
      </c>
      <c r="E66" s="313" t="str">
        <f t="shared" si="48"/>
        <v/>
      </c>
      <c r="F66" s="313"/>
      <c r="G66" s="313" t="str">
        <f t="shared" si="49"/>
        <v/>
      </c>
      <c r="H66" s="313"/>
      <c r="I66" s="202"/>
      <c r="J66" s="53"/>
      <c r="K66" s="53"/>
      <c r="L66" s="53"/>
      <c r="M66" s="53"/>
      <c r="N66" s="50"/>
      <c r="O66" s="98"/>
      <c r="S66" s="74"/>
      <c r="AA66" s="196" t="str">
        <f t="shared" si="0"/>
        <v>-</v>
      </c>
      <c r="AB66" s="185" t="str">
        <f t="shared" si="11"/>
        <v>-</v>
      </c>
      <c r="AC66" s="353">
        <f t="shared" si="34"/>
        <v>63</v>
      </c>
      <c r="AD66" s="354"/>
      <c r="AE66" s="83" t="str">
        <f t="shared" si="12"/>
        <v>-</v>
      </c>
      <c r="AF66" s="84"/>
      <c r="AG66" s="355" t="str">
        <f t="shared" si="13"/>
        <v>-</v>
      </c>
      <c r="AH66" s="356"/>
      <c r="AI66" s="357" t="str">
        <f t="shared" si="16"/>
        <v>-</v>
      </c>
      <c r="AJ66" s="358"/>
      <c r="AK66" s="85">
        <f t="shared" ca="1" si="1"/>
        <v>48091</v>
      </c>
      <c r="AL66" s="353">
        <v>63</v>
      </c>
      <c r="AM66" s="354"/>
      <c r="AN66" s="86" t="e">
        <f t="shared" si="2"/>
        <v>#DIV/0!</v>
      </c>
      <c r="AO66" s="87"/>
      <c r="AP66" s="359" t="e">
        <f t="shared" ca="1" si="3"/>
        <v>#DIV/0!</v>
      </c>
      <c r="AQ66" s="360"/>
      <c r="AR66" s="361" t="e">
        <f t="shared" ca="1" si="4"/>
        <v>#DIV/0!</v>
      </c>
      <c r="AS66" s="362"/>
      <c r="AT66" s="87" t="e">
        <f t="shared" ca="1" si="14"/>
        <v>#DIV/0!</v>
      </c>
      <c r="AU66" s="75" t="str">
        <f t="shared" si="5"/>
        <v>-</v>
      </c>
      <c r="AZ66" s="284">
        <v>6.4999999999999997E-3</v>
      </c>
      <c r="BG66" s="246">
        <f t="shared" ca="1" si="17"/>
        <v>48091</v>
      </c>
      <c r="BH66" s="287" t="e">
        <f t="shared" si="50"/>
        <v>#VALUE!</v>
      </c>
      <c r="BI66" s="288"/>
      <c r="BJ66" s="247" t="e">
        <f t="shared" si="51"/>
        <v>#VALUE!</v>
      </c>
      <c r="BK66" s="248"/>
      <c r="BL66" s="251" t="e">
        <f t="shared" si="52"/>
        <v>#VALUE!</v>
      </c>
      <c r="BM66" s="248"/>
      <c r="BN66" s="249" t="e">
        <f t="shared" si="20"/>
        <v>#VALUE!</v>
      </c>
      <c r="BO66" s="250"/>
      <c r="BQ66" s="53" t="e">
        <f t="shared" si="6"/>
        <v>#VALUE!</v>
      </c>
      <c r="BR66" s="233" t="e">
        <f t="shared" si="7"/>
        <v>#VALUE!</v>
      </c>
      <c r="BS66" s="245" t="e">
        <f t="shared" si="8"/>
        <v>#VALUE!</v>
      </c>
      <c r="BT66" s="245" t="e">
        <f t="shared" si="9"/>
        <v>#DIV/0!</v>
      </c>
      <c r="BU66" s="280" t="e">
        <f t="shared" si="25"/>
        <v>#VALUE!</v>
      </c>
    </row>
    <row r="67" spans="1:73" ht="13.95" customHeight="1" thickBot="1" x14ac:dyDescent="0.35">
      <c r="A67" s="43"/>
      <c r="B67" s="314" t="str">
        <f t="shared" si="38"/>
        <v/>
      </c>
      <c r="C67" s="314"/>
      <c r="D67" s="205" t="str">
        <f t="shared" si="47"/>
        <v/>
      </c>
      <c r="E67" s="313" t="str">
        <f t="shared" si="48"/>
        <v/>
      </c>
      <c r="F67" s="313"/>
      <c r="G67" s="313" t="str">
        <f t="shared" si="49"/>
        <v/>
      </c>
      <c r="H67" s="313"/>
      <c r="I67" s="202"/>
      <c r="J67" s="53"/>
      <c r="K67" s="53"/>
      <c r="L67" s="53"/>
      <c r="M67" s="53"/>
      <c r="N67" s="50"/>
      <c r="O67" s="98"/>
      <c r="S67" s="74"/>
      <c r="AA67" s="196" t="str">
        <f t="shared" si="0"/>
        <v>-</v>
      </c>
      <c r="AB67" s="185" t="str">
        <f t="shared" si="11"/>
        <v>-</v>
      </c>
      <c r="AC67" s="353">
        <f t="shared" si="34"/>
        <v>64</v>
      </c>
      <c r="AD67" s="354"/>
      <c r="AE67" s="83" t="str">
        <f t="shared" si="12"/>
        <v>-</v>
      </c>
      <c r="AF67" s="84"/>
      <c r="AG67" s="355" t="str">
        <f t="shared" si="13"/>
        <v>-</v>
      </c>
      <c r="AH67" s="356"/>
      <c r="AI67" s="357" t="str">
        <f t="shared" si="16"/>
        <v>-</v>
      </c>
      <c r="AJ67" s="358"/>
      <c r="AK67" s="85">
        <f t="shared" ca="1" si="1"/>
        <v>48121</v>
      </c>
      <c r="AL67" s="353">
        <v>64</v>
      </c>
      <c r="AM67" s="354"/>
      <c r="AN67" s="86" t="e">
        <f t="shared" si="2"/>
        <v>#DIV/0!</v>
      </c>
      <c r="AO67" s="87"/>
      <c r="AP67" s="359" t="e">
        <f t="shared" ca="1" si="3"/>
        <v>#DIV/0!</v>
      </c>
      <c r="AQ67" s="360"/>
      <c r="AR67" s="361" t="e">
        <f t="shared" ca="1" si="4"/>
        <v>#DIV/0!</v>
      </c>
      <c r="AS67" s="362"/>
      <c r="AT67" s="87" t="e">
        <f t="shared" ca="1" si="14"/>
        <v>#DIV/0!</v>
      </c>
      <c r="AU67" s="75" t="str">
        <f t="shared" si="5"/>
        <v>-</v>
      </c>
      <c r="AZ67" s="284">
        <v>6.6E-3</v>
      </c>
      <c r="BG67" s="246">
        <f t="shared" ca="1" si="17"/>
        <v>48121</v>
      </c>
      <c r="BH67" s="287" t="e">
        <f t="shared" si="50"/>
        <v>#VALUE!</v>
      </c>
      <c r="BI67" s="288"/>
      <c r="BJ67" s="247" t="e">
        <f t="shared" si="51"/>
        <v>#VALUE!</v>
      </c>
      <c r="BK67" s="248"/>
      <c r="BL67" s="251" t="e">
        <f t="shared" si="52"/>
        <v>#VALUE!</v>
      </c>
      <c r="BM67" s="248"/>
      <c r="BN67" s="249" t="e">
        <f t="shared" si="20"/>
        <v>#VALUE!</v>
      </c>
      <c r="BO67" s="250"/>
      <c r="BQ67" s="53" t="e">
        <f t="shared" si="6"/>
        <v>#VALUE!</v>
      </c>
      <c r="BR67" s="233" t="e">
        <f t="shared" si="7"/>
        <v>#VALUE!</v>
      </c>
      <c r="BS67" s="245" t="e">
        <f t="shared" si="8"/>
        <v>#VALUE!</v>
      </c>
      <c r="BT67" s="245" t="e">
        <f t="shared" si="9"/>
        <v>#DIV/0!</v>
      </c>
      <c r="BU67" s="280" t="e">
        <f t="shared" si="25"/>
        <v>#VALUE!</v>
      </c>
    </row>
    <row r="68" spans="1:73" ht="13.95" customHeight="1" thickBot="1" x14ac:dyDescent="0.35">
      <c r="A68" s="43"/>
      <c r="B68" s="314" t="str">
        <f t="shared" si="38"/>
        <v/>
      </c>
      <c r="C68" s="314"/>
      <c r="D68" s="205" t="str">
        <f t="shared" si="47"/>
        <v/>
      </c>
      <c r="E68" s="313" t="str">
        <f t="shared" si="48"/>
        <v/>
      </c>
      <c r="F68" s="313"/>
      <c r="G68" s="313" t="str">
        <f t="shared" si="49"/>
        <v/>
      </c>
      <c r="H68" s="313"/>
      <c r="I68" s="202"/>
      <c r="J68" s="53"/>
      <c r="K68" s="53"/>
      <c r="L68" s="53"/>
      <c r="M68" s="53"/>
      <c r="N68" s="50"/>
      <c r="O68" s="98"/>
      <c r="S68" s="74"/>
      <c r="AA68" s="196" t="str">
        <f t="shared" si="0"/>
        <v>-</v>
      </c>
      <c r="AB68" s="185" t="str">
        <f t="shared" si="11"/>
        <v>-</v>
      </c>
      <c r="AC68" s="353">
        <f t="shared" si="34"/>
        <v>65</v>
      </c>
      <c r="AD68" s="354"/>
      <c r="AE68" s="83" t="str">
        <f t="shared" si="12"/>
        <v>-</v>
      </c>
      <c r="AF68" s="84"/>
      <c r="AG68" s="355" t="str">
        <f t="shared" si="13"/>
        <v>-</v>
      </c>
      <c r="AH68" s="356"/>
      <c r="AI68" s="357" t="str">
        <f t="shared" si="16"/>
        <v>-</v>
      </c>
      <c r="AJ68" s="358"/>
      <c r="AK68" s="85">
        <f t="shared" ca="1" si="1"/>
        <v>48152</v>
      </c>
      <c r="AL68" s="353">
        <v>65</v>
      </c>
      <c r="AM68" s="354"/>
      <c r="AN68" s="86" t="e">
        <f t="shared" si="2"/>
        <v>#DIV/0!</v>
      </c>
      <c r="AO68" s="87"/>
      <c r="AP68" s="359" t="e">
        <f t="shared" ca="1" si="3"/>
        <v>#DIV/0!</v>
      </c>
      <c r="AQ68" s="360"/>
      <c r="AR68" s="361" t="e">
        <f t="shared" ca="1" si="4"/>
        <v>#DIV/0!</v>
      </c>
      <c r="AS68" s="362"/>
      <c r="AT68" s="87" t="e">
        <f t="shared" ca="1" si="14"/>
        <v>#DIV/0!</v>
      </c>
      <c r="AU68" s="75" t="str">
        <f t="shared" si="5"/>
        <v>-</v>
      </c>
      <c r="AZ68" s="284">
        <v>6.7000000000000002E-3</v>
      </c>
      <c r="BG68" s="246">
        <f t="shared" ca="1" si="17"/>
        <v>48152</v>
      </c>
      <c r="BH68" s="287" t="e">
        <f t="shared" si="50"/>
        <v>#VALUE!</v>
      </c>
      <c r="BI68" s="288"/>
      <c r="BJ68" s="247" t="e">
        <f t="shared" si="51"/>
        <v>#VALUE!</v>
      </c>
      <c r="BK68" s="248"/>
      <c r="BL68" s="251" t="e">
        <f t="shared" si="52"/>
        <v>#VALUE!</v>
      </c>
      <c r="BM68" s="248"/>
      <c r="BN68" s="249" t="e">
        <f t="shared" si="20"/>
        <v>#VALUE!</v>
      </c>
      <c r="BO68" s="250"/>
      <c r="BQ68" s="53" t="e">
        <f t="shared" si="6"/>
        <v>#VALUE!</v>
      </c>
      <c r="BR68" s="233" t="e">
        <f t="shared" si="7"/>
        <v>#VALUE!</v>
      </c>
      <c r="BS68" s="245" t="e">
        <f t="shared" si="8"/>
        <v>#VALUE!</v>
      </c>
      <c r="BT68" s="245" t="e">
        <f t="shared" ref="BT68:BT85" si="53">BT67-BS68</f>
        <v>#DIV/0!</v>
      </c>
      <c r="BU68" s="280" t="e">
        <f t="shared" si="25"/>
        <v>#VALUE!</v>
      </c>
    </row>
    <row r="69" spans="1:73" ht="13.95" customHeight="1" thickBot="1" x14ac:dyDescent="0.35">
      <c r="A69" s="43"/>
      <c r="B69" s="314" t="str">
        <f t="shared" si="38"/>
        <v/>
      </c>
      <c r="C69" s="314"/>
      <c r="D69" s="205" t="str">
        <f t="shared" si="47"/>
        <v/>
      </c>
      <c r="E69" s="313" t="str">
        <f t="shared" si="48"/>
        <v/>
      </c>
      <c r="F69" s="313"/>
      <c r="G69" s="313" t="str">
        <f t="shared" si="49"/>
        <v/>
      </c>
      <c r="H69" s="313"/>
      <c r="I69" s="202"/>
      <c r="J69" s="53"/>
      <c r="K69" s="53"/>
      <c r="L69" s="53"/>
      <c r="M69" s="53"/>
      <c r="N69" s="50"/>
      <c r="O69" s="98"/>
      <c r="S69" s="74"/>
      <c r="AA69" s="196" t="str">
        <f t="shared" ref="AA69:AA87" si="54">AI69</f>
        <v>-</v>
      </c>
      <c r="AB69" s="185" t="str">
        <f t="shared" si="11"/>
        <v>-</v>
      </c>
      <c r="AC69" s="353">
        <f t="shared" si="34"/>
        <v>66</v>
      </c>
      <c r="AD69" s="354"/>
      <c r="AE69" s="83" t="str">
        <f t="shared" si="12"/>
        <v>-</v>
      </c>
      <c r="AF69" s="84"/>
      <c r="AG69" s="355" t="str">
        <f t="shared" si="13"/>
        <v>-</v>
      </c>
      <c r="AH69" s="356"/>
      <c r="AI69" s="357" t="str">
        <f t="shared" si="16"/>
        <v>-</v>
      </c>
      <c r="AJ69" s="358"/>
      <c r="AK69" s="85">
        <f t="shared" ref="AK69:AK89" ca="1" si="55">IF(AL69="","",DATE(YEAR(AK68),MONTH(AK68)+2,DAY(1)-1))</f>
        <v>48182</v>
      </c>
      <c r="AL69" s="353">
        <v>66</v>
      </c>
      <c r="AM69" s="354"/>
      <c r="AN69" s="86" t="e">
        <f t="shared" ref="AN69:AN89" si="56">$N$2/$E$12</f>
        <v>#DIV/0!</v>
      </c>
      <c r="AO69" s="87"/>
      <c r="AP69" s="359" t="e">
        <f t="shared" ref="AP69:AP89" ca="1" si="57">AT69*$E$14/100*(AK69-AK68)/360</f>
        <v>#DIV/0!</v>
      </c>
      <c r="AQ69" s="360"/>
      <c r="AR69" s="361" t="e">
        <f t="shared" ref="AR69:AR89" ca="1" si="58">AN69+AP69</f>
        <v>#DIV/0!</v>
      </c>
      <c r="AS69" s="362"/>
      <c r="AT69" s="87" t="e">
        <f t="shared" ca="1" si="14"/>
        <v>#DIV/0!</v>
      </c>
      <c r="AU69" s="75" t="str">
        <f t="shared" ref="AU69:AU90" si="59">AI69</f>
        <v>-</v>
      </c>
      <c r="AZ69" s="284">
        <v>6.7999999999999996E-3</v>
      </c>
      <c r="BG69" s="246">
        <f t="shared" ca="1" si="17"/>
        <v>48182</v>
      </c>
      <c r="BH69" s="287" t="e">
        <f t="shared" si="50"/>
        <v>#VALUE!</v>
      </c>
      <c r="BI69" s="288"/>
      <c r="BJ69" s="247" t="e">
        <f t="shared" si="51"/>
        <v>#VALUE!</v>
      </c>
      <c r="BK69" s="248"/>
      <c r="BL69" s="251" t="e">
        <f t="shared" si="52"/>
        <v>#VALUE!</v>
      </c>
      <c r="BM69" s="248"/>
      <c r="BN69" s="249" t="e">
        <f t="shared" ref="BN69:BN87" si="60">BL69+BJ69</f>
        <v>#VALUE!</v>
      </c>
      <c r="BO69" s="250"/>
      <c r="BQ69" s="53" t="e">
        <f t="shared" ref="BQ69:BQ87" si="61">$BC$30</f>
        <v>#VALUE!</v>
      </c>
      <c r="BR69" s="233" t="e">
        <f t="shared" ref="BR69:BR87" si="62">IF(BH69&lt;=$BC$23,($BC$20/12)*BT68,($BC$21/12)*BT68)</f>
        <v>#VALUE!</v>
      </c>
      <c r="BS69" s="245" t="e">
        <f t="shared" ref="BS69:BS85" si="63">BQ69-BR69</f>
        <v>#VALUE!</v>
      </c>
      <c r="BT69" s="245" t="e">
        <f t="shared" si="53"/>
        <v>#DIV/0!</v>
      </c>
      <c r="BU69" s="280" t="e">
        <f t="shared" si="25"/>
        <v>#VALUE!</v>
      </c>
    </row>
    <row r="70" spans="1:73" ht="13.95" customHeight="1" thickBot="1" x14ac:dyDescent="0.35">
      <c r="A70" s="43"/>
      <c r="B70" s="314" t="str">
        <f t="shared" si="38"/>
        <v/>
      </c>
      <c r="C70" s="314"/>
      <c r="D70" s="205" t="str">
        <f t="shared" si="47"/>
        <v/>
      </c>
      <c r="E70" s="313" t="str">
        <f t="shared" si="48"/>
        <v/>
      </c>
      <c r="F70" s="313"/>
      <c r="G70" s="313" t="str">
        <f t="shared" si="49"/>
        <v/>
      </c>
      <c r="H70" s="313"/>
      <c r="I70" s="202"/>
      <c r="J70" s="53"/>
      <c r="K70" s="53"/>
      <c r="L70" s="53"/>
      <c r="M70" s="53"/>
      <c r="N70" s="50"/>
      <c r="O70" s="98"/>
      <c r="S70" s="74"/>
      <c r="AA70" s="196" t="str">
        <f t="shared" si="54"/>
        <v>-</v>
      </c>
      <c r="AB70" s="185" t="str">
        <f t="shared" ref="AB70:AB87" si="64">IF(AC70&gt;$V$26,"-",IF($V$26=AC70,$V$25,DATE(YEAR(AB69),MONTH(AB69)+1,IF($V$20&lt;&gt;"",DAY(IF($V$20&gt;DAY(EOMONTH(AB69,1)),EOMONTH(AB69,1),$V$20)),DAY(1)))))</f>
        <v>-</v>
      </c>
      <c r="AC70" s="353">
        <f t="shared" si="34"/>
        <v>67</v>
      </c>
      <c r="AD70" s="354"/>
      <c r="AE70" s="83" t="str">
        <f t="shared" ref="AE70:AE87" si="65">IF(AC70&gt;$V$26,"-",IF($AE$4=0,PPMT($E$14/1200,AC69,$E$12,-$N$2),PPMT($E$14/1200,AC70,$E$12,-$N$2)))</f>
        <v>-</v>
      </c>
      <c r="AF70" s="84"/>
      <c r="AG70" s="355" t="str">
        <f t="shared" ref="AG70:AG87" si="66">IF(AC70&gt;$V$26,"-",IF($AE$4=0,IPMT($E$14/1200,AC69,$E$12,-$N$2),IPMT($E$14/1200,AC70,$E$12,-$N$2)))</f>
        <v>-</v>
      </c>
      <c r="AH70" s="356"/>
      <c r="AI70" s="357" t="str">
        <f t="shared" ref="AI70:AI87" si="67">IF(AC70&gt;$V$26,"-",AG70+AE70)</f>
        <v>-</v>
      </c>
      <c r="AJ70" s="358"/>
      <c r="AK70" s="85">
        <f t="shared" ca="1" si="55"/>
        <v>48213</v>
      </c>
      <c r="AL70" s="353">
        <v>67</v>
      </c>
      <c r="AM70" s="354"/>
      <c r="AN70" s="86" t="e">
        <f t="shared" si="56"/>
        <v>#DIV/0!</v>
      </c>
      <c r="AO70" s="87"/>
      <c r="AP70" s="359" t="e">
        <f t="shared" ca="1" si="57"/>
        <v>#DIV/0!</v>
      </c>
      <c r="AQ70" s="360"/>
      <c r="AR70" s="361" t="e">
        <f t="shared" ca="1" si="58"/>
        <v>#DIV/0!</v>
      </c>
      <c r="AS70" s="362"/>
      <c r="AT70" s="87" t="e">
        <f t="shared" ref="AT70:AT89" ca="1" si="68">AT69-AN69</f>
        <v>#DIV/0!</v>
      </c>
      <c r="AU70" s="75" t="str">
        <f t="shared" si="59"/>
        <v>-</v>
      </c>
      <c r="AZ70" s="284">
        <v>6.8999999999999999E-3</v>
      </c>
      <c r="BG70" s="246">
        <f t="shared" ca="1" si="17"/>
        <v>48213</v>
      </c>
      <c r="BH70" s="287" t="e">
        <f t="shared" si="50"/>
        <v>#VALUE!</v>
      </c>
      <c r="BI70" s="288"/>
      <c r="BJ70" s="247" t="e">
        <f t="shared" si="51"/>
        <v>#VALUE!</v>
      </c>
      <c r="BK70" s="248"/>
      <c r="BL70" s="251" t="e">
        <f t="shared" si="52"/>
        <v>#VALUE!</v>
      </c>
      <c r="BM70" s="248"/>
      <c r="BN70" s="249" t="e">
        <f t="shared" si="60"/>
        <v>#VALUE!</v>
      </c>
      <c r="BO70" s="250"/>
      <c r="BQ70" s="53" t="e">
        <f t="shared" si="61"/>
        <v>#VALUE!</v>
      </c>
      <c r="BR70" s="233" t="e">
        <f t="shared" si="62"/>
        <v>#VALUE!</v>
      </c>
      <c r="BS70" s="245" t="e">
        <f t="shared" si="63"/>
        <v>#VALUE!</v>
      </c>
      <c r="BT70" s="245" t="e">
        <f t="shared" si="53"/>
        <v>#DIV/0!</v>
      </c>
      <c r="BU70" s="280" t="e">
        <f t="shared" si="25"/>
        <v>#VALUE!</v>
      </c>
    </row>
    <row r="71" spans="1:73" ht="13.95" customHeight="1" thickBot="1" x14ac:dyDescent="0.35">
      <c r="A71" s="43"/>
      <c r="B71" s="314" t="str">
        <f t="shared" si="38"/>
        <v/>
      </c>
      <c r="C71" s="314"/>
      <c r="D71" s="205" t="str">
        <f t="shared" si="47"/>
        <v/>
      </c>
      <c r="E71" s="313" t="str">
        <f t="shared" si="48"/>
        <v/>
      </c>
      <c r="F71" s="313"/>
      <c r="G71" s="313" t="str">
        <f t="shared" si="49"/>
        <v/>
      </c>
      <c r="H71" s="313"/>
      <c r="I71" s="202"/>
      <c r="J71" s="53"/>
      <c r="K71" s="53"/>
      <c r="L71" s="53"/>
      <c r="M71" s="53"/>
      <c r="N71" s="50"/>
      <c r="O71" s="98"/>
      <c r="S71" s="74"/>
      <c r="AA71" s="196" t="str">
        <f t="shared" si="54"/>
        <v>-</v>
      </c>
      <c r="AB71" s="185" t="str">
        <f t="shared" si="64"/>
        <v>-</v>
      </c>
      <c r="AC71" s="353">
        <f t="shared" si="34"/>
        <v>68</v>
      </c>
      <c r="AD71" s="354"/>
      <c r="AE71" s="83" t="str">
        <f t="shared" si="65"/>
        <v>-</v>
      </c>
      <c r="AF71" s="84"/>
      <c r="AG71" s="355" t="str">
        <f t="shared" si="66"/>
        <v>-</v>
      </c>
      <c r="AH71" s="356"/>
      <c r="AI71" s="357" t="str">
        <f t="shared" si="67"/>
        <v>-</v>
      </c>
      <c r="AJ71" s="358"/>
      <c r="AK71" s="85">
        <f t="shared" ca="1" si="55"/>
        <v>48244</v>
      </c>
      <c r="AL71" s="353">
        <v>68</v>
      </c>
      <c r="AM71" s="354"/>
      <c r="AN71" s="86" t="e">
        <f t="shared" si="56"/>
        <v>#DIV/0!</v>
      </c>
      <c r="AO71" s="87"/>
      <c r="AP71" s="359" t="e">
        <f t="shared" ca="1" si="57"/>
        <v>#DIV/0!</v>
      </c>
      <c r="AQ71" s="360"/>
      <c r="AR71" s="361" t="e">
        <f t="shared" ca="1" si="58"/>
        <v>#DIV/0!</v>
      </c>
      <c r="AS71" s="362"/>
      <c r="AT71" s="87" t="e">
        <f t="shared" ca="1" si="68"/>
        <v>#DIV/0!</v>
      </c>
      <c r="AU71" s="75" t="str">
        <f t="shared" si="59"/>
        <v>-</v>
      </c>
      <c r="AZ71" s="284">
        <v>7.0000000000000001E-3</v>
      </c>
      <c r="BG71" s="246">
        <f t="shared" ref="BG71:BG88" ca="1" si="69">DATE(YEAR(BG70),MONTH(BG70)+2,DAY(1)-1)</f>
        <v>48244</v>
      </c>
      <c r="BH71" s="287" t="e">
        <f t="shared" si="50"/>
        <v>#VALUE!</v>
      </c>
      <c r="BI71" s="288"/>
      <c r="BJ71" s="247" t="e">
        <f t="shared" si="51"/>
        <v>#VALUE!</v>
      </c>
      <c r="BK71" s="248"/>
      <c r="BL71" s="251" t="e">
        <f t="shared" si="52"/>
        <v>#VALUE!</v>
      </c>
      <c r="BM71" s="248"/>
      <c r="BN71" s="249" t="e">
        <f t="shared" si="60"/>
        <v>#VALUE!</v>
      </c>
      <c r="BO71" s="250"/>
      <c r="BQ71" s="53" t="e">
        <f t="shared" si="61"/>
        <v>#VALUE!</v>
      </c>
      <c r="BR71" s="233" t="e">
        <f t="shared" si="62"/>
        <v>#VALUE!</v>
      </c>
      <c r="BS71" s="245" t="e">
        <f t="shared" si="63"/>
        <v>#VALUE!</v>
      </c>
      <c r="BT71" s="245" t="e">
        <f t="shared" si="53"/>
        <v>#DIV/0!</v>
      </c>
      <c r="BU71" s="280" t="e">
        <f t="shared" si="25"/>
        <v>#VALUE!</v>
      </c>
    </row>
    <row r="72" spans="1:73" ht="13.95" customHeight="1" thickBot="1" x14ac:dyDescent="0.35">
      <c r="A72" s="43"/>
      <c r="B72" s="314" t="str">
        <f t="shared" si="38"/>
        <v/>
      </c>
      <c r="C72" s="314"/>
      <c r="D72" s="205" t="str">
        <f t="shared" si="47"/>
        <v/>
      </c>
      <c r="E72" s="313" t="str">
        <f t="shared" si="48"/>
        <v/>
      </c>
      <c r="F72" s="313"/>
      <c r="G72" s="313" t="str">
        <f t="shared" si="49"/>
        <v/>
      </c>
      <c r="H72" s="313"/>
      <c r="I72" s="202"/>
      <c r="J72" s="53"/>
      <c r="K72" s="53"/>
      <c r="L72" s="53"/>
      <c r="M72" s="53"/>
      <c r="N72" s="50"/>
      <c r="O72" s="98"/>
      <c r="S72" s="74"/>
      <c r="AA72" s="196" t="str">
        <f t="shared" si="54"/>
        <v>-</v>
      </c>
      <c r="AB72" s="185" t="str">
        <f t="shared" si="64"/>
        <v>-</v>
      </c>
      <c r="AC72" s="353">
        <f t="shared" si="34"/>
        <v>69</v>
      </c>
      <c r="AD72" s="354"/>
      <c r="AE72" s="83" t="str">
        <f t="shared" si="65"/>
        <v>-</v>
      </c>
      <c r="AF72" s="84"/>
      <c r="AG72" s="355" t="str">
        <f t="shared" si="66"/>
        <v>-</v>
      </c>
      <c r="AH72" s="356"/>
      <c r="AI72" s="357" t="str">
        <f t="shared" si="67"/>
        <v>-</v>
      </c>
      <c r="AJ72" s="358"/>
      <c r="AK72" s="85">
        <f t="shared" ca="1" si="55"/>
        <v>48273</v>
      </c>
      <c r="AL72" s="353">
        <v>69</v>
      </c>
      <c r="AM72" s="354"/>
      <c r="AN72" s="86" t="e">
        <f t="shared" si="56"/>
        <v>#DIV/0!</v>
      </c>
      <c r="AO72" s="87"/>
      <c r="AP72" s="359" t="e">
        <f t="shared" ca="1" si="57"/>
        <v>#DIV/0!</v>
      </c>
      <c r="AQ72" s="360"/>
      <c r="AR72" s="361" t="e">
        <f t="shared" ca="1" si="58"/>
        <v>#DIV/0!</v>
      </c>
      <c r="AS72" s="362"/>
      <c r="AT72" s="87" t="e">
        <f t="shared" ca="1" si="68"/>
        <v>#DIV/0!</v>
      </c>
      <c r="AU72" s="75" t="str">
        <f t="shared" si="59"/>
        <v>-</v>
      </c>
      <c r="AZ72" s="284">
        <v>7.1000000000000004E-3</v>
      </c>
      <c r="BG72" s="246">
        <f t="shared" ca="1" si="69"/>
        <v>48273</v>
      </c>
      <c r="BH72" s="287" t="e">
        <f t="shared" si="50"/>
        <v>#VALUE!</v>
      </c>
      <c r="BI72" s="288"/>
      <c r="BJ72" s="247" t="e">
        <f t="shared" si="51"/>
        <v>#VALUE!</v>
      </c>
      <c r="BK72" s="248"/>
      <c r="BL72" s="251" t="e">
        <f t="shared" si="52"/>
        <v>#VALUE!</v>
      </c>
      <c r="BM72" s="248"/>
      <c r="BN72" s="249" t="e">
        <f t="shared" si="60"/>
        <v>#VALUE!</v>
      </c>
      <c r="BO72" s="250"/>
      <c r="BQ72" s="53" t="e">
        <f t="shared" si="61"/>
        <v>#VALUE!</v>
      </c>
      <c r="BR72" s="233" t="e">
        <f t="shared" si="62"/>
        <v>#VALUE!</v>
      </c>
      <c r="BS72" s="245" t="e">
        <f t="shared" si="63"/>
        <v>#VALUE!</v>
      </c>
      <c r="BT72" s="245" t="e">
        <f t="shared" si="53"/>
        <v>#DIV/0!</v>
      </c>
      <c r="BU72" s="280" t="e">
        <f t="shared" si="25"/>
        <v>#VALUE!</v>
      </c>
    </row>
    <row r="73" spans="1:73" ht="13.95" customHeight="1" thickBot="1" x14ac:dyDescent="0.35">
      <c r="A73" s="43"/>
      <c r="B73" s="314" t="str">
        <f>IF(E12=48,"Всього:",IF(B72&lt;$E$12,B72+1,""))</f>
        <v/>
      </c>
      <c r="C73" s="314"/>
      <c r="D73" s="205" t="str">
        <f>IF(E12=48,SUM(D25:D72),IF(B72&lt;$E$12,IF($N$24="ні",AE52,BJ52),""))</f>
        <v/>
      </c>
      <c r="E73" s="313" t="str">
        <f>IF(E12=48,SUM(E25:F72),IF(B72&lt;$E$12,IF($N$24="ні",AG52,BL52),""))</f>
        <v/>
      </c>
      <c r="F73" s="313"/>
      <c r="G73" s="313" t="str">
        <f>IF(E12=48,SUM(G25:H72),IF(B72&lt;$E$12,IF($N$24="ні",AI52,BN52),""))</f>
        <v/>
      </c>
      <c r="H73" s="313"/>
      <c r="I73" s="202"/>
      <c r="J73" s="53"/>
      <c r="K73" s="53"/>
      <c r="L73" s="53"/>
      <c r="M73" s="53"/>
      <c r="N73" s="50"/>
      <c r="O73" s="98"/>
      <c r="S73" s="74"/>
      <c r="AA73" s="196" t="str">
        <f t="shared" si="54"/>
        <v>-</v>
      </c>
      <c r="AB73" s="185" t="str">
        <f t="shared" si="64"/>
        <v>-</v>
      </c>
      <c r="AC73" s="353">
        <f t="shared" si="34"/>
        <v>70</v>
      </c>
      <c r="AD73" s="354"/>
      <c r="AE73" s="83" t="str">
        <f t="shared" si="65"/>
        <v>-</v>
      </c>
      <c r="AF73" s="84"/>
      <c r="AG73" s="355" t="str">
        <f t="shared" si="66"/>
        <v>-</v>
      </c>
      <c r="AH73" s="356"/>
      <c r="AI73" s="357" t="str">
        <f t="shared" si="67"/>
        <v>-</v>
      </c>
      <c r="AJ73" s="358"/>
      <c r="AK73" s="85">
        <f t="shared" ca="1" si="55"/>
        <v>48304</v>
      </c>
      <c r="AL73" s="353">
        <v>70</v>
      </c>
      <c r="AM73" s="354"/>
      <c r="AN73" s="86" t="e">
        <f t="shared" si="56"/>
        <v>#DIV/0!</v>
      </c>
      <c r="AO73" s="87"/>
      <c r="AP73" s="359" t="e">
        <f t="shared" ca="1" si="57"/>
        <v>#DIV/0!</v>
      </c>
      <c r="AQ73" s="360"/>
      <c r="AR73" s="361" t="e">
        <f t="shared" ca="1" si="58"/>
        <v>#DIV/0!</v>
      </c>
      <c r="AS73" s="362"/>
      <c r="AT73" s="87" t="e">
        <f t="shared" ca="1" si="68"/>
        <v>#DIV/0!</v>
      </c>
      <c r="AU73" s="75" t="str">
        <f t="shared" si="59"/>
        <v>-</v>
      </c>
      <c r="AZ73" s="284">
        <v>7.1999999999999998E-3</v>
      </c>
      <c r="BG73" s="246">
        <f t="shared" ca="1" si="69"/>
        <v>48304</v>
      </c>
      <c r="BH73" s="287" t="e">
        <f t="shared" si="50"/>
        <v>#VALUE!</v>
      </c>
      <c r="BI73" s="288"/>
      <c r="BJ73" s="247" t="e">
        <f t="shared" si="51"/>
        <v>#VALUE!</v>
      </c>
      <c r="BK73" s="248"/>
      <c r="BL73" s="251" t="e">
        <f t="shared" si="52"/>
        <v>#VALUE!</v>
      </c>
      <c r="BM73" s="248"/>
      <c r="BN73" s="249" t="e">
        <f t="shared" si="60"/>
        <v>#VALUE!</v>
      </c>
      <c r="BO73" s="250"/>
      <c r="BQ73" s="53" t="e">
        <f t="shared" si="61"/>
        <v>#VALUE!</v>
      </c>
      <c r="BR73" s="233" t="e">
        <f t="shared" si="62"/>
        <v>#VALUE!</v>
      </c>
      <c r="BS73" s="245" t="e">
        <f t="shared" si="63"/>
        <v>#VALUE!</v>
      </c>
      <c r="BT73" s="245" t="e">
        <f t="shared" si="53"/>
        <v>#DIV/0!</v>
      </c>
      <c r="BU73" s="280" t="e">
        <f t="shared" si="25"/>
        <v>#VALUE!</v>
      </c>
    </row>
    <row r="74" spans="1:73" ht="13.95" customHeight="1" thickBot="1" x14ac:dyDescent="0.35">
      <c r="A74" s="43"/>
      <c r="B74" s="314" t="str">
        <f t="shared" si="38"/>
        <v/>
      </c>
      <c r="C74" s="314"/>
      <c r="D74" s="205" t="str">
        <f t="shared" ref="D74:D84" si="70">IF(B73&lt;$E$12,IF($N$24="ні",AE53,BJ53),"")</f>
        <v/>
      </c>
      <c r="E74" s="313" t="str">
        <f t="shared" ref="E74:E84" si="71">IF(B73&lt;$E$12,IF($N$24="ні",AG53,BL53),"")</f>
        <v/>
      </c>
      <c r="F74" s="313"/>
      <c r="G74" s="313" t="str">
        <f t="shared" ref="G74:G84" si="72">IF(B73&lt;$E$12,IF($N$24="ні",AI53,BN53),"")</f>
        <v/>
      </c>
      <c r="H74" s="313"/>
      <c r="I74" s="202"/>
      <c r="J74" s="53"/>
      <c r="K74" s="53"/>
      <c r="L74" s="53"/>
      <c r="M74" s="53"/>
      <c r="N74" s="50"/>
      <c r="O74" s="98"/>
      <c r="S74" s="74"/>
      <c r="AA74" s="196" t="str">
        <f t="shared" si="54"/>
        <v>-</v>
      </c>
      <c r="AB74" s="185" t="str">
        <f t="shared" si="64"/>
        <v>-</v>
      </c>
      <c r="AC74" s="353">
        <f t="shared" si="34"/>
        <v>71</v>
      </c>
      <c r="AD74" s="354"/>
      <c r="AE74" s="83" t="str">
        <f t="shared" si="65"/>
        <v>-</v>
      </c>
      <c r="AF74" s="84"/>
      <c r="AG74" s="355" t="str">
        <f t="shared" si="66"/>
        <v>-</v>
      </c>
      <c r="AH74" s="356"/>
      <c r="AI74" s="357" t="str">
        <f t="shared" si="67"/>
        <v>-</v>
      </c>
      <c r="AJ74" s="358"/>
      <c r="AK74" s="85">
        <f t="shared" ca="1" si="55"/>
        <v>48334</v>
      </c>
      <c r="AL74" s="353">
        <v>71</v>
      </c>
      <c r="AM74" s="354"/>
      <c r="AN74" s="86" t="e">
        <f t="shared" si="56"/>
        <v>#DIV/0!</v>
      </c>
      <c r="AO74" s="87"/>
      <c r="AP74" s="359" t="e">
        <f t="shared" ca="1" si="57"/>
        <v>#DIV/0!</v>
      </c>
      <c r="AQ74" s="360"/>
      <c r="AR74" s="361" t="e">
        <f t="shared" ca="1" si="58"/>
        <v>#DIV/0!</v>
      </c>
      <c r="AS74" s="362"/>
      <c r="AT74" s="87" t="e">
        <f t="shared" ca="1" si="68"/>
        <v>#DIV/0!</v>
      </c>
      <c r="AU74" s="75" t="str">
        <f t="shared" si="59"/>
        <v>-</v>
      </c>
      <c r="AZ74" s="284">
        <v>7.3000000000000001E-3</v>
      </c>
      <c r="BG74" s="246">
        <f t="shared" ca="1" si="69"/>
        <v>48334</v>
      </c>
      <c r="BH74" s="287" t="e">
        <f t="shared" si="50"/>
        <v>#VALUE!</v>
      </c>
      <c r="BI74" s="288"/>
      <c r="BJ74" s="247" t="e">
        <f t="shared" si="51"/>
        <v>#VALUE!</v>
      </c>
      <c r="BK74" s="248"/>
      <c r="BL74" s="251" t="e">
        <f t="shared" si="52"/>
        <v>#VALUE!</v>
      </c>
      <c r="BM74" s="248"/>
      <c r="BN74" s="249" t="e">
        <f t="shared" si="60"/>
        <v>#VALUE!</v>
      </c>
      <c r="BO74" s="250"/>
      <c r="BQ74" s="53" t="e">
        <f t="shared" si="61"/>
        <v>#VALUE!</v>
      </c>
      <c r="BR74" s="233" t="e">
        <f t="shared" si="62"/>
        <v>#VALUE!</v>
      </c>
      <c r="BS74" s="245" t="e">
        <f t="shared" si="63"/>
        <v>#VALUE!</v>
      </c>
      <c r="BT74" s="245" t="e">
        <f t="shared" si="53"/>
        <v>#DIV/0!</v>
      </c>
      <c r="BU74" s="280" t="e">
        <f t="shared" si="25"/>
        <v>#VALUE!</v>
      </c>
    </row>
    <row r="75" spans="1:73" ht="13.95" customHeight="1" thickBot="1" x14ac:dyDescent="0.35">
      <c r="A75" s="43"/>
      <c r="B75" s="314" t="str">
        <f t="shared" si="38"/>
        <v/>
      </c>
      <c r="C75" s="314"/>
      <c r="D75" s="205" t="str">
        <f t="shared" si="70"/>
        <v/>
      </c>
      <c r="E75" s="313" t="str">
        <f t="shared" si="71"/>
        <v/>
      </c>
      <c r="F75" s="313"/>
      <c r="G75" s="313" t="str">
        <f t="shared" si="72"/>
        <v/>
      </c>
      <c r="H75" s="313"/>
      <c r="I75" s="202"/>
      <c r="J75" s="53"/>
      <c r="K75" s="53"/>
      <c r="L75" s="53"/>
      <c r="M75" s="53"/>
      <c r="N75" s="50"/>
      <c r="O75" s="98"/>
      <c r="S75" s="74"/>
      <c r="AA75" s="196" t="str">
        <f>IFERROR(AI75+Z76,"-")</f>
        <v>-</v>
      </c>
      <c r="AB75" s="185" t="str">
        <f t="shared" si="64"/>
        <v>-</v>
      </c>
      <c r="AC75" s="353">
        <f t="shared" si="34"/>
        <v>72</v>
      </c>
      <c r="AD75" s="354"/>
      <c r="AE75" s="83" t="str">
        <f t="shared" si="65"/>
        <v>-</v>
      </c>
      <c r="AF75" s="84"/>
      <c r="AG75" s="355" t="str">
        <f t="shared" si="66"/>
        <v>-</v>
      </c>
      <c r="AH75" s="356"/>
      <c r="AI75" s="357" t="str">
        <f t="shared" si="67"/>
        <v>-</v>
      </c>
      <c r="AJ75" s="358"/>
      <c r="AK75" s="85">
        <f t="shared" ca="1" si="55"/>
        <v>48365</v>
      </c>
      <c r="AL75" s="353">
        <v>72</v>
      </c>
      <c r="AM75" s="354"/>
      <c r="AN75" s="86" t="e">
        <f t="shared" si="56"/>
        <v>#DIV/0!</v>
      </c>
      <c r="AO75" s="87"/>
      <c r="AP75" s="359" t="e">
        <f t="shared" ca="1" si="57"/>
        <v>#DIV/0!</v>
      </c>
      <c r="AQ75" s="360"/>
      <c r="AR75" s="361" t="e">
        <f t="shared" ca="1" si="58"/>
        <v>#DIV/0!</v>
      </c>
      <c r="AS75" s="362"/>
      <c r="AT75" s="87" t="e">
        <f t="shared" ca="1" si="68"/>
        <v>#DIV/0!</v>
      </c>
      <c r="AU75" s="75" t="str">
        <f t="shared" si="59"/>
        <v>-</v>
      </c>
      <c r="AZ75" s="284">
        <v>7.4000000000000003E-3</v>
      </c>
      <c r="BG75" s="246">
        <f t="shared" ca="1" si="69"/>
        <v>48365</v>
      </c>
      <c r="BH75" s="287" t="e">
        <f t="shared" si="50"/>
        <v>#VALUE!</v>
      </c>
      <c r="BI75" s="288"/>
      <c r="BJ75" s="247" t="e">
        <f>IF($BJ$4=0,BS74,BS75)</f>
        <v>#VALUE!</v>
      </c>
      <c r="BK75" s="248"/>
      <c r="BL75" s="251" t="e">
        <f>IF($AE$4=0,BR74,BR75)</f>
        <v>#VALUE!</v>
      </c>
      <c r="BM75" s="248"/>
      <c r="BN75" s="249" t="e">
        <f t="shared" si="60"/>
        <v>#VALUE!</v>
      </c>
      <c r="BO75" s="250"/>
      <c r="BQ75" s="53" t="e">
        <f t="shared" si="61"/>
        <v>#VALUE!</v>
      </c>
      <c r="BR75" s="233" t="e">
        <f t="shared" si="62"/>
        <v>#VALUE!</v>
      </c>
      <c r="BS75" s="245" t="e">
        <f t="shared" si="63"/>
        <v>#VALUE!</v>
      </c>
      <c r="BT75" s="245" t="e">
        <f t="shared" si="53"/>
        <v>#DIV/0!</v>
      </c>
      <c r="BU75" s="280" t="str">
        <f>IFERROR(BN75+Z76,"-")</f>
        <v>-</v>
      </c>
    </row>
    <row r="76" spans="1:73" ht="13.95" customHeight="1" thickBot="1" x14ac:dyDescent="0.35">
      <c r="A76" s="43"/>
      <c r="B76" s="314" t="str">
        <f t="shared" si="38"/>
        <v/>
      </c>
      <c r="C76" s="314"/>
      <c r="D76" s="205" t="str">
        <f t="shared" si="70"/>
        <v/>
      </c>
      <c r="E76" s="313" t="str">
        <f t="shared" si="71"/>
        <v/>
      </c>
      <c r="F76" s="313"/>
      <c r="G76" s="313" t="str">
        <f t="shared" si="72"/>
        <v/>
      </c>
      <c r="H76" s="313"/>
      <c r="I76" s="202"/>
      <c r="J76" s="53"/>
      <c r="K76" s="53"/>
      <c r="L76" s="53"/>
      <c r="M76" s="53"/>
      <c r="N76" s="50"/>
      <c r="O76" s="98"/>
      <c r="S76" s="74"/>
      <c r="Z76" s="116">
        <f>IF($V$26&gt;AC76,$E$4*0.9*0.9*0.9*0.9*0.9*0.9*$T$33,0)</f>
        <v>0</v>
      </c>
      <c r="AA76" s="196" t="str">
        <f t="shared" si="54"/>
        <v>-</v>
      </c>
      <c r="AB76" s="185" t="str">
        <f t="shared" si="64"/>
        <v>-</v>
      </c>
      <c r="AC76" s="353">
        <f t="shared" si="34"/>
        <v>73</v>
      </c>
      <c r="AD76" s="354"/>
      <c r="AE76" s="83" t="str">
        <f t="shared" si="65"/>
        <v>-</v>
      </c>
      <c r="AF76" s="84"/>
      <c r="AG76" s="355" t="str">
        <f t="shared" si="66"/>
        <v>-</v>
      </c>
      <c r="AH76" s="356"/>
      <c r="AI76" s="357" t="str">
        <f t="shared" si="67"/>
        <v>-</v>
      </c>
      <c r="AJ76" s="358"/>
      <c r="AK76" s="85">
        <f t="shared" ca="1" si="55"/>
        <v>48395</v>
      </c>
      <c r="AL76" s="353">
        <v>73</v>
      </c>
      <c r="AM76" s="354"/>
      <c r="AN76" s="86" t="e">
        <f t="shared" si="56"/>
        <v>#DIV/0!</v>
      </c>
      <c r="AO76" s="87"/>
      <c r="AP76" s="359" t="e">
        <f t="shared" ca="1" si="57"/>
        <v>#DIV/0!</v>
      </c>
      <c r="AQ76" s="360"/>
      <c r="AR76" s="361" t="e">
        <f t="shared" ca="1" si="58"/>
        <v>#DIV/0!</v>
      </c>
      <c r="AS76" s="362"/>
      <c r="AT76" s="87" t="e">
        <f t="shared" ca="1" si="68"/>
        <v>#DIV/0!</v>
      </c>
      <c r="AU76" s="75" t="e">
        <f>AI76+AW76+AX76</f>
        <v>#VALUE!</v>
      </c>
      <c r="AW76" s="63" t="str">
        <f>IF($E$12&gt;$R$7,$E$4*0.9*0.9*0.9*0.9*0.9*0.9*5.5%,"")</f>
        <v/>
      </c>
      <c r="AX76" s="63" t="e">
        <f>IF(#REF!=0,0,IF($E$12&gt;$R$7,(AE90-SUM(AE4:AE75))*0.0299,""))</f>
        <v>#REF!</v>
      </c>
      <c r="AZ76" s="284">
        <v>7.4999999999999997E-3</v>
      </c>
      <c r="BG76" s="246">
        <f t="shared" ca="1" si="69"/>
        <v>48395</v>
      </c>
      <c r="BH76" s="287" t="e">
        <f t="shared" si="50"/>
        <v>#VALUE!</v>
      </c>
      <c r="BI76" s="288"/>
      <c r="BJ76" s="247" t="e">
        <f t="shared" ref="BJ76" si="73">IF($BJ$4=0,BS75,BS76)</f>
        <v>#VALUE!</v>
      </c>
      <c r="BK76" s="248"/>
      <c r="BL76" s="251" t="e">
        <f t="shared" ref="BL76" si="74">IF($AE$4=0,BR75,BR76)</f>
        <v>#VALUE!</v>
      </c>
      <c r="BM76" s="248"/>
      <c r="BN76" s="249" t="e">
        <f t="shared" si="60"/>
        <v>#VALUE!</v>
      </c>
      <c r="BO76" s="250"/>
      <c r="BQ76" s="53" t="e">
        <f t="shared" si="61"/>
        <v>#VALUE!</v>
      </c>
      <c r="BR76" s="233" t="e">
        <f t="shared" si="62"/>
        <v>#VALUE!</v>
      </c>
      <c r="BS76" s="245" t="e">
        <f t="shared" si="63"/>
        <v>#VALUE!</v>
      </c>
      <c r="BT76" s="245" t="e">
        <f t="shared" si="53"/>
        <v>#DIV/0!</v>
      </c>
      <c r="BU76" s="280" t="e">
        <f t="shared" si="25"/>
        <v>#VALUE!</v>
      </c>
    </row>
    <row r="77" spans="1:73" ht="13.95" customHeight="1" thickBot="1" x14ac:dyDescent="0.35">
      <c r="A77" s="43"/>
      <c r="B77" s="314" t="str">
        <f t="shared" si="38"/>
        <v/>
      </c>
      <c r="C77" s="314"/>
      <c r="D77" s="205" t="str">
        <f t="shared" si="70"/>
        <v/>
      </c>
      <c r="E77" s="313" t="str">
        <f t="shared" si="71"/>
        <v/>
      </c>
      <c r="F77" s="313"/>
      <c r="G77" s="313" t="str">
        <f t="shared" si="72"/>
        <v/>
      </c>
      <c r="H77" s="313"/>
      <c r="I77" s="202"/>
      <c r="J77" s="53"/>
      <c r="K77" s="53"/>
      <c r="L77" s="53"/>
      <c r="M77" s="53"/>
      <c r="N77" s="50"/>
      <c r="O77" s="98"/>
      <c r="S77" s="74"/>
      <c r="AA77" s="196" t="str">
        <f t="shared" si="54"/>
        <v>-</v>
      </c>
      <c r="AB77" s="185" t="str">
        <f t="shared" si="64"/>
        <v>-</v>
      </c>
      <c r="AC77" s="353">
        <f t="shared" si="34"/>
        <v>74</v>
      </c>
      <c r="AD77" s="354"/>
      <c r="AE77" s="83" t="str">
        <f t="shared" si="65"/>
        <v>-</v>
      </c>
      <c r="AF77" s="84"/>
      <c r="AG77" s="355" t="str">
        <f t="shared" si="66"/>
        <v>-</v>
      </c>
      <c r="AH77" s="356"/>
      <c r="AI77" s="357" t="str">
        <f t="shared" si="67"/>
        <v>-</v>
      </c>
      <c r="AJ77" s="358"/>
      <c r="AK77" s="85">
        <f t="shared" ca="1" si="55"/>
        <v>48426</v>
      </c>
      <c r="AL77" s="353">
        <v>74</v>
      </c>
      <c r="AM77" s="354"/>
      <c r="AN77" s="86" t="e">
        <f t="shared" si="56"/>
        <v>#DIV/0!</v>
      </c>
      <c r="AO77" s="87"/>
      <c r="AP77" s="359" t="e">
        <f t="shared" ca="1" si="57"/>
        <v>#DIV/0!</v>
      </c>
      <c r="AQ77" s="360"/>
      <c r="AR77" s="361" t="e">
        <f t="shared" ca="1" si="58"/>
        <v>#DIV/0!</v>
      </c>
      <c r="AS77" s="362"/>
      <c r="AT77" s="87" t="e">
        <f t="shared" ca="1" si="68"/>
        <v>#DIV/0!</v>
      </c>
      <c r="AU77" s="75" t="str">
        <f t="shared" si="59"/>
        <v>-</v>
      </c>
      <c r="AZ77" s="284">
        <v>7.6E-3</v>
      </c>
      <c r="BG77" s="246">
        <f t="shared" ca="1" si="69"/>
        <v>48426</v>
      </c>
      <c r="BH77" s="287" t="e">
        <f t="shared" si="50"/>
        <v>#VALUE!</v>
      </c>
      <c r="BI77" s="288"/>
      <c r="BJ77" s="247" t="e">
        <f>IF($BJ$4=0,BS76,BS77)</f>
        <v>#VALUE!</v>
      </c>
      <c r="BK77" s="248"/>
      <c r="BL77" s="251" t="e">
        <f>IF($AE$4=0,BR76,BR77)</f>
        <v>#VALUE!</v>
      </c>
      <c r="BM77" s="248"/>
      <c r="BN77" s="249" t="e">
        <f t="shared" si="60"/>
        <v>#VALUE!</v>
      </c>
      <c r="BO77" s="250"/>
      <c r="BQ77" s="53" t="e">
        <f t="shared" si="61"/>
        <v>#VALUE!</v>
      </c>
      <c r="BR77" s="233" t="e">
        <f t="shared" si="62"/>
        <v>#VALUE!</v>
      </c>
      <c r="BS77" s="245" t="e">
        <f t="shared" si="63"/>
        <v>#VALUE!</v>
      </c>
      <c r="BT77" s="245" t="e">
        <f t="shared" si="53"/>
        <v>#DIV/0!</v>
      </c>
      <c r="BU77" s="280" t="e">
        <f t="shared" si="25"/>
        <v>#VALUE!</v>
      </c>
    </row>
    <row r="78" spans="1:73" ht="13.95" customHeight="1" thickBot="1" x14ac:dyDescent="0.35">
      <c r="A78" s="43"/>
      <c r="B78" s="314" t="str">
        <f t="shared" si="38"/>
        <v/>
      </c>
      <c r="C78" s="314"/>
      <c r="D78" s="205" t="str">
        <f t="shared" si="70"/>
        <v/>
      </c>
      <c r="E78" s="313" t="str">
        <f t="shared" si="71"/>
        <v/>
      </c>
      <c r="F78" s="313"/>
      <c r="G78" s="313" t="str">
        <f t="shared" si="72"/>
        <v/>
      </c>
      <c r="H78" s="313"/>
      <c r="I78" s="202"/>
      <c r="J78" s="53"/>
      <c r="K78" s="53"/>
      <c r="L78" s="53"/>
      <c r="M78" s="53"/>
      <c r="N78" s="50"/>
      <c r="O78" s="98"/>
      <c r="S78" s="74"/>
      <c r="AA78" s="196" t="str">
        <f t="shared" si="54"/>
        <v>-</v>
      </c>
      <c r="AB78" s="185" t="str">
        <f t="shared" si="64"/>
        <v>-</v>
      </c>
      <c r="AC78" s="353">
        <f t="shared" si="34"/>
        <v>75</v>
      </c>
      <c r="AD78" s="354"/>
      <c r="AE78" s="83" t="str">
        <f t="shared" si="65"/>
        <v>-</v>
      </c>
      <c r="AF78" s="84"/>
      <c r="AG78" s="355" t="str">
        <f t="shared" si="66"/>
        <v>-</v>
      </c>
      <c r="AH78" s="356"/>
      <c r="AI78" s="357" t="str">
        <f t="shared" si="67"/>
        <v>-</v>
      </c>
      <c r="AJ78" s="358"/>
      <c r="AK78" s="85">
        <f t="shared" ca="1" si="55"/>
        <v>48457</v>
      </c>
      <c r="AL78" s="353">
        <v>75</v>
      </c>
      <c r="AM78" s="354"/>
      <c r="AN78" s="86" t="e">
        <f t="shared" si="56"/>
        <v>#DIV/0!</v>
      </c>
      <c r="AO78" s="87"/>
      <c r="AP78" s="359" t="e">
        <f t="shared" ca="1" si="57"/>
        <v>#DIV/0!</v>
      </c>
      <c r="AQ78" s="360"/>
      <c r="AR78" s="361" t="e">
        <f t="shared" ca="1" si="58"/>
        <v>#DIV/0!</v>
      </c>
      <c r="AS78" s="362"/>
      <c r="AT78" s="87" t="e">
        <f t="shared" ca="1" si="68"/>
        <v>#DIV/0!</v>
      </c>
      <c r="AU78" s="75" t="str">
        <f t="shared" si="59"/>
        <v>-</v>
      </c>
      <c r="AZ78" s="284">
        <v>7.7000000000000002E-3</v>
      </c>
      <c r="BG78" s="246">
        <f t="shared" ca="1" si="69"/>
        <v>48457</v>
      </c>
      <c r="BH78" s="287" t="e">
        <f t="shared" si="50"/>
        <v>#VALUE!</v>
      </c>
      <c r="BI78" s="288"/>
      <c r="BJ78" s="247" t="e">
        <f t="shared" ref="BJ78:BJ83" si="75">IF($BJ$4=0,BS77,BS78)</f>
        <v>#VALUE!</v>
      </c>
      <c r="BK78" s="248"/>
      <c r="BL78" s="251" t="e">
        <f t="shared" ref="BL78:BL83" si="76">IF($AE$4=0,BR77,BR78)</f>
        <v>#VALUE!</v>
      </c>
      <c r="BM78" s="248"/>
      <c r="BN78" s="249" t="e">
        <f t="shared" si="60"/>
        <v>#VALUE!</v>
      </c>
      <c r="BO78" s="250"/>
      <c r="BQ78" s="53" t="e">
        <f t="shared" si="61"/>
        <v>#VALUE!</v>
      </c>
      <c r="BR78" s="233" t="e">
        <f t="shared" si="62"/>
        <v>#VALUE!</v>
      </c>
      <c r="BS78" s="245" t="e">
        <f t="shared" si="63"/>
        <v>#VALUE!</v>
      </c>
      <c r="BT78" s="245" t="e">
        <f t="shared" si="53"/>
        <v>#DIV/0!</v>
      </c>
      <c r="BU78" s="280" t="e">
        <f t="shared" si="25"/>
        <v>#VALUE!</v>
      </c>
    </row>
    <row r="79" spans="1:73" ht="13.95" customHeight="1" thickBot="1" x14ac:dyDescent="0.35">
      <c r="A79" s="43"/>
      <c r="B79" s="314" t="str">
        <f t="shared" si="38"/>
        <v/>
      </c>
      <c r="C79" s="314"/>
      <c r="D79" s="205" t="str">
        <f t="shared" si="70"/>
        <v/>
      </c>
      <c r="E79" s="313" t="str">
        <f t="shared" si="71"/>
        <v/>
      </c>
      <c r="F79" s="313"/>
      <c r="G79" s="313" t="str">
        <f t="shared" si="72"/>
        <v/>
      </c>
      <c r="H79" s="313"/>
      <c r="I79" s="202"/>
      <c r="J79" s="53"/>
      <c r="K79" s="53"/>
      <c r="L79" s="53"/>
      <c r="M79" s="53"/>
      <c r="N79" s="50"/>
      <c r="O79" s="98"/>
      <c r="S79" s="74"/>
      <c r="AA79" s="196" t="str">
        <f t="shared" si="54"/>
        <v>-</v>
      </c>
      <c r="AB79" s="185" t="str">
        <f t="shared" si="64"/>
        <v>-</v>
      </c>
      <c r="AC79" s="353">
        <f>AC78+1</f>
        <v>76</v>
      </c>
      <c r="AD79" s="354"/>
      <c r="AE79" s="83" t="str">
        <f t="shared" si="65"/>
        <v>-</v>
      </c>
      <c r="AF79" s="84"/>
      <c r="AG79" s="355" t="str">
        <f t="shared" si="66"/>
        <v>-</v>
      </c>
      <c r="AH79" s="356"/>
      <c r="AI79" s="357" t="str">
        <f t="shared" si="67"/>
        <v>-</v>
      </c>
      <c r="AJ79" s="358"/>
      <c r="AK79" s="85">
        <f t="shared" ca="1" si="55"/>
        <v>48487</v>
      </c>
      <c r="AL79" s="353">
        <v>76</v>
      </c>
      <c r="AM79" s="354"/>
      <c r="AN79" s="86" t="e">
        <f t="shared" si="56"/>
        <v>#DIV/0!</v>
      </c>
      <c r="AO79" s="87"/>
      <c r="AP79" s="359" t="e">
        <f t="shared" ca="1" si="57"/>
        <v>#DIV/0!</v>
      </c>
      <c r="AQ79" s="360"/>
      <c r="AR79" s="361" t="e">
        <f t="shared" ca="1" si="58"/>
        <v>#DIV/0!</v>
      </c>
      <c r="AS79" s="362"/>
      <c r="AT79" s="87" t="e">
        <f t="shared" ca="1" si="68"/>
        <v>#DIV/0!</v>
      </c>
      <c r="AU79" s="75" t="str">
        <f t="shared" si="59"/>
        <v>-</v>
      </c>
      <c r="AZ79" s="284">
        <v>7.7999999999999996E-3</v>
      </c>
      <c r="BG79" s="246">
        <f t="shared" ca="1" si="69"/>
        <v>48487</v>
      </c>
      <c r="BH79" s="287" t="e">
        <f t="shared" si="50"/>
        <v>#VALUE!</v>
      </c>
      <c r="BI79" s="288"/>
      <c r="BJ79" s="247" t="e">
        <f t="shared" si="75"/>
        <v>#VALUE!</v>
      </c>
      <c r="BK79" s="248"/>
      <c r="BL79" s="251" t="e">
        <f t="shared" si="76"/>
        <v>#VALUE!</v>
      </c>
      <c r="BM79" s="248"/>
      <c r="BN79" s="249" t="e">
        <f t="shared" si="60"/>
        <v>#VALUE!</v>
      </c>
      <c r="BO79" s="250"/>
      <c r="BQ79" s="53" t="e">
        <f t="shared" si="61"/>
        <v>#VALUE!</v>
      </c>
      <c r="BR79" s="233" t="e">
        <f t="shared" si="62"/>
        <v>#VALUE!</v>
      </c>
      <c r="BS79" s="245" t="e">
        <f t="shared" si="63"/>
        <v>#VALUE!</v>
      </c>
      <c r="BT79" s="245" t="e">
        <f t="shared" si="53"/>
        <v>#DIV/0!</v>
      </c>
      <c r="BU79" s="280" t="e">
        <f t="shared" si="25"/>
        <v>#VALUE!</v>
      </c>
    </row>
    <row r="80" spans="1:73" ht="13.95" customHeight="1" thickBot="1" x14ac:dyDescent="0.35">
      <c r="A80" s="43"/>
      <c r="B80" s="314" t="str">
        <f t="shared" si="38"/>
        <v/>
      </c>
      <c r="C80" s="314"/>
      <c r="D80" s="205" t="str">
        <f t="shared" si="70"/>
        <v/>
      </c>
      <c r="E80" s="313" t="str">
        <f t="shared" si="71"/>
        <v/>
      </c>
      <c r="F80" s="313"/>
      <c r="G80" s="313" t="str">
        <f t="shared" si="72"/>
        <v/>
      </c>
      <c r="H80" s="313"/>
      <c r="I80" s="202"/>
      <c r="J80" s="53"/>
      <c r="K80" s="53"/>
      <c r="L80" s="53"/>
      <c r="M80" s="53"/>
      <c r="N80" s="50"/>
      <c r="O80" s="98"/>
      <c r="S80" s="74"/>
      <c r="AA80" s="196" t="str">
        <f t="shared" si="54"/>
        <v>-</v>
      </c>
      <c r="AB80" s="185" t="str">
        <f t="shared" si="64"/>
        <v>-</v>
      </c>
      <c r="AC80" s="353">
        <f t="shared" ref="AC80:AC86" si="77">AC79+1</f>
        <v>77</v>
      </c>
      <c r="AD80" s="354"/>
      <c r="AE80" s="83" t="str">
        <f t="shared" si="65"/>
        <v>-</v>
      </c>
      <c r="AF80" s="84"/>
      <c r="AG80" s="355" t="str">
        <f t="shared" si="66"/>
        <v>-</v>
      </c>
      <c r="AH80" s="356"/>
      <c r="AI80" s="357" t="str">
        <f t="shared" si="67"/>
        <v>-</v>
      </c>
      <c r="AJ80" s="358"/>
      <c r="AK80" s="85">
        <f t="shared" ca="1" si="55"/>
        <v>48518</v>
      </c>
      <c r="AL80" s="353">
        <v>77</v>
      </c>
      <c r="AM80" s="354"/>
      <c r="AN80" s="86" t="e">
        <f t="shared" si="56"/>
        <v>#DIV/0!</v>
      </c>
      <c r="AO80" s="87"/>
      <c r="AP80" s="359" t="e">
        <f t="shared" ca="1" si="57"/>
        <v>#DIV/0!</v>
      </c>
      <c r="AQ80" s="360"/>
      <c r="AR80" s="361" t="e">
        <f t="shared" ca="1" si="58"/>
        <v>#DIV/0!</v>
      </c>
      <c r="AS80" s="362"/>
      <c r="AT80" s="87" t="e">
        <f t="shared" ca="1" si="68"/>
        <v>#DIV/0!</v>
      </c>
      <c r="AU80" s="75" t="str">
        <f t="shared" si="59"/>
        <v>-</v>
      </c>
      <c r="AZ80" s="284">
        <v>7.9000000000000008E-3</v>
      </c>
      <c r="BG80" s="246">
        <f t="shared" ca="1" si="69"/>
        <v>48518</v>
      </c>
      <c r="BH80" s="287" t="e">
        <f t="shared" si="50"/>
        <v>#VALUE!</v>
      </c>
      <c r="BI80" s="288"/>
      <c r="BJ80" s="247" t="e">
        <f t="shared" si="75"/>
        <v>#VALUE!</v>
      </c>
      <c r="BK80" s="248"/>
      <c r="BL80" s="251" t="e">
        <f t="shared" si="76"/>
        <v>#VALUE!</v>
      </c>
      <c r="BM80" s="248"/>
      <c r="BN80" s="249" t="e">
        <f t="shared" si="60"/>
        <v>#VALUE!</v>
      </c>
      <c r="BO80" s="250"/>
      <c r="BQ80" s="53" t="e">
        <f t="shared" si="61"/>
        <v>#VALUE!</v>
      </c>
      <c r="BR80" s="233" t="e">
        <f t="shared" si="62"/>
        <v>#VALUE!</v>
      </c>
      <c r="BS80" s="245" t="e">
        <f t="shared" si="63"/>
        <v>#VALUE!</v>
      </c>
      <c r="BT80" s="245" t="e">
        <f t="shared" si="53"/>
        <v>#DIV/0!</v>
      </c>
      <c r="BU80" s="280" t="e">
        <f t="shared" si="25"/>
        <v>#VALUE!</v>
      </c>
    </row>
    <row r="81" spans="1:73" ht="13.95" customHeight="1" thickBot="1" x14ac:dyDescent="0.35">
      <c r="A81" s="43"/>
      <c r="B81" s="314" t="str">
        <f t="shared" si="38"/>
        <v/>
      </c>
      <c r="C81" s="314"/>
      <c r="D81" s="205" t="str">
        <f t="shared" si="70"/>
        <v/>
      </c>
      <c r="E81" s="313" t="str">
        <f t="shared" si="71"/>
        <v/>
      </c>
      <c r="F81" s="313"/>
      <c r="G81" s="313" t="str">
        <f t="shared" si="72"/>
        <v/>
      </c>
      <c r="H81" s="313"/>
      <c r="I81" s="202"/>
      <c r="J81" s="53"/>
      <c r="K81" s="53"/>
      <c r="L81" s="53"/>
      <c r="M81" s="53"/>
      <c r="N81" s="50"/>
      <c r="O81" s="98"/>
      <c r="S81" s="74"/>
      <c r="AA81" s="196" t="str">
        <f t="shared" si="54"/>
        <v>-</v>
      </c>
      <c r="AB81" s="185" t="str">
        <f t="shared" si="64"/>
        <v>-</v>
      </c>
      <c r="AC81" s="353">
        <f t="shared" si="77"/>
        <v>78</v>
      </c>
      <c r="AD81" s="354"/>
      <c r="AE81" s="83" t="str">
        <f t="shared" si="65"/>
        <v>-</v>
      </c>
      <c r="AF81" s="84"/>
      <c r="AG81" s="355" t="str">
        <f t="shared" si="66"/>
        <v>-</v>
      </c>
      <c r="AH81" s="356"/>
      <c r="AI81" s="357" t="str">
        <f t="shared" si="67"/>
        <v>-</v>
      </c>
      <c r="AJ81" s="358"/>
      <c r="AK81" s="85">
        <f t="shared" ca="1" si="55"/>
        <v>48548</v>
      </c>
      <c r="AL81" s="353">
        <v>78</v>
      </c>
      <c r="AM81" s="354"/>
      <c r="AN81" s="86" t="e">
        <f t="shared" si="56"/>
        <v>#DIV/0!</v>
      </c>
      <c r="AO81" s="87"/>
      <c r="AP81" s="359" t="e">
        <f t="shared" ca="1" si="57"/>
        <v>#DIV/0!</v>
      </c>
      <c r="AQ81" s="360"/>
      <c r="AR81" s="361" t="e">
        <f t="shared" ca="1" si="58"/>
        <v>#DIV/0!</v>
      </c>
      <c r="AS81" s="362"/>
      <c r="AT81" s="87" t="e">
        <f t="shared" ca="1" si="68"/>
        <v>#DIV/0!</v>
      </c>
      <c r="AU81" s="75" t="str">
        <f t="shared" si="59"/>
        <v>-</v>
      </c>
      <c r="AZ81" s="284">
        <v>8.0000000000000002E-3</v>
      </c>
      <c r="BG81" s="246">
        <f t="shared" ca="1" si="69"/>
        <v>48548</v>
      </c>
      <c r="BH81" s="287" t="e">
        <f t="shared" si="50"/>
        <v>#VALUE!</v>
      </c>
      <c r="BI81" s="288"/>
      <c r="BJ81" s="247" t="e">
        <f t="shared" si="75"/>
        <v>#VALUE!</v>
      </c>
      <c r="BK81" s="248"/>
      <c r="BL81" s="251" t="e">
        <f t="shared" si="76"/>
        <v>#VALUE!</v>
      </c>
      <c r="BM81" s="248"/>
      <c r="BN81" s="249" t="e">
        <f t="shared" si="60"/>
        <v>#VALUE!</v>
      </c>
      <c r="BO81" s="250"/>
      <c r="BQ81" s="53" t="e">
        <f t="shared" si="61"/>
        <v>#VALUE!</v>
      </c>
      <c r="BR81" s="233" t="e">
        <f t="shared" si="62"/>
        <v>#VALUE!</v>
      </c>
      <c r="BS81" s="245" t="e">
        <f t="shared" si="63"/>
        <v>#VALUE!</v>
      </c>
      <c r="BT81" s="245" t="e">
        <f t="shared" si="53"/>
        <v>#DIV/0!</v>
      </c>
      <c r="BU81" s="280" t="e">
        <f t="shared" ref="BU81:BU87" si="78">BN81</f>
        <v>#VALUE!</v>
      </c>
    </row>
    <row r="82" spans="1:73" ht="13.95" customHeight="1" thickBot="1" x14ac:dyDescent="0.35">
      <c r="A82" s="43"/>
      <c r="B82" s="314" t="str">
        <f t="shared" si="38"/>
        <v/>
      </c>
      <c r="C82" s="314"/>
      <c r="D82" s="205" t="str">
        <f t="shared" si="70"/>
        <v/>
      </c>
      <c r="E82" s="313" t="str">
        <f t="shared" si="71"/>
        <v/>
      </c>
      <c r="F82" s="313"/>
      <c r="G82" s="313" t="str">
        <f t="shared" si="72"/>
        <v/>
      </c>
      <c r="H82" s="313"/>
      <c r="I82" s="202"/>
      <c r="J82" s="53"/>
      <c r="K82" s="53"/>
      <c r="L82" s="53"/>
      <c r="M82" s="53"/>
      <c r="N82" s="50"/>
      <c r="O82" s="98"/>
      <c r="S82" s="74"/>
      <c r="AA82" s="196" t="str">
        <f t="shared" si="54"/>
        <v>-</v>
      </c>
      <c r="AB82" s="185" t="str">
        <f t="shared" si="64"/>
        <v>-</v>
      </c>
      <c r="AC82" s="353">
        <f t="shared" si="77"/>
        <v>79</v>
      </c>
      <c r="AD82" s="354"/>
      <c r="AE82" s="83" t="str">
        <f t="shared" si="65"/>
        <v>-</v>
      </c>
      <c r="AF82" s="84"/>
      <c r="AG82" s="355" t="str">
        <f t="shared" si="66"/>
        <v>-</v>
      </c>
      <c r="AH82" s="356"/>
      <c r="AI82" s="357" t="str">
        <f t="shared" si="67"/>
        <v>-</v>
      </c>
      <c r="AJ82" s="358"/>
      <c r="AK82" s="85">
        <f t="shared" ca="1" si="55"/>
        <v>48579</v>
      </c>
      <c r="AL82" s="353">
        <v>79</v>
      </c>
      <c r="AM82" s="354"/>
      <c r="AN82" s="86" t="e">
        <f t="shared" si="56"/>
        <v>#DIV/0!</v>
      </c>
      <c r="AO82" s="87"/>
      <c r="AP82" s="359" t="e">
        <f t="shared" ca="1" si="57"/>
        <v>#DIV/0!</v>
      </c>
      <c r="AQ82" s="360"/>
      <c r="AR82" s="361" t="e">
        <f t="shared" ca="1" si="58"/>
        <v>#DIV/0!</v>
      </c>
      <c r="AS82" s="362"/>
      <c r="AT82" s="87" t="e">
        <f t="shared" ca="1" si="68"/>
        <v>#DIV/0!</v>
      </c>
      <c r="AU82" s="75" t="str">
        <f t="shared" si="59"/>
        <v>-</v>
      </c>
      <c r="AZ82" s="284">
        <v>8.0999999999999996E-3</v>
      </c>
      <c r="BG82" s="246">
        <f t="shared" ca="1" si="69"/>
        <v>48579</v>
      </c>
      <c r="BH82" s="287" t="e">
        <f t="shared" si="50"/>
        <v>#VALUE!</v>
      </c>
      <c r="BI82" s="288"/>
      <c r="BJ82" s="247" t="e">
        <f t="shared" si="75"/>
        <v>#VALUE!</v>
      </c>
      <c r="BK82" s="248"/>
      <c r="BL82" s="251" t="e">
        <f t="shared" si="76"/>
        <v>#VALUE!</v>
      </c>
      <c r="BM82" s="248"/>
      <c r="BN82" s="249" t="e">
        <f t="shared" si="60"/>
        <v>#VALUE!</v>
      </c>
      <c r="BO82" s="250"/>
      <c r="BQ82" s="53" t="e">
        <f t="shared" si="61"/>
        <v>#VALUE!</v>
      </c>
      <c r="BR82" s="233" t="e">
        <f t="shared" si="62"/>
        <v>#VALUE!</v>
      </c>
      <c r="BS82" s="245" t="e">
        <f t="shared" si="63"/>
        <v>#VALUE!</v>
      </c>
      <c r="BT82" s="245" t="e">
        <f t="shared" si="53"/>
        <v>#DIV/0!</v>
      </c>
      <c r="BU82" s="280" t="e">
        <f t="shared" si="78"/>
        <v>#VALUE!</v>
      </c>
    </row>
    <row r="83" spans="1:73" ht="13.95" customHeight="1" thickBot="1" x14ac:dyDescent="0.35">
      <c r="A83" s="43"/>
      <c r="B83" s="314" t="str">
        <f t="shared" si="38"/>
        <v/>
      </c>
      <c r="C83" s="314"/>
      <c r="D83" s="205" t="str">
        <f t="shared" si="70"/>
        <v/>
      </c>
      <c r="E83" s="313" t="str">
        <f t="shared" si="71"/>
        <v/>
      </c>
      <c r="F83" s="313"/>
      <c r="G83" s="313" t="str">
        <f t="shared" si="72"/>
        <v/>
      </c>
      <c r="H83" s="313"/>
      <c r="I83" s="202"/>
      <c r="J83" s="53"/>
      <c r="K83" s="53"/>
      <c r="L83" s="53"/>
      <c r="M83" s="53"/>
      <c r="N83" s="50"/>
      <c r="O83" s="98"/>
      <c r="S83" s="74"/>
      <c r="AA83" s="196" t="str">
        <f t="shared" si="54"/>
        <v>-</v>
      </c>
      <c r="AB83" s="185" t="str">
        <f t="shared" si="64"/>
        <v>-</v>
      </c>
      <c r="AC83" s="353">
        <f t="shared" si="77"/>
        <v>80</v>
      </c>
      <c r="AD83" s="354"/>
      <c r="AE83" s="83" t="str">
        <f t="shared" si="65"/>
        <v>-</v>
      </c>
      <c r="AF83" s="84"/>
      <c r="AG83" s="355" t="str">
        <f t="shared" si="66"/>
        <v>-</v>
      </c>
      <c r="AH83" s="356"/>
      <c r="AI83" s="357" t="str">
        <f t="shared" si="67"/>
        <v>-</v>
      </c>
      <c r="AJ83" s="358"/>
      <c r="AK83" s="85">
        <f t="shared" ca="1" si="55"/>
        <v>48610</v>
      </c>
      <c r="AL83" s="353">
        <v>80</v>
      </c>
      <c r="AM83" s="354"/>
      <c r="AN83" s="86" t="e">
        <f t="shared" si="56"/>
        <v>#DIV/0!</v>
      </c>
      <c r="AO83" s="87"/>
      <c r="AP83" s="359" t="e">
        <f t="shared" ca="1" si="57"/>
        <v>#DIV/0!</v>
      </c>
      <c r="AQ83" s="360"/>
      <c r="AR83" s="361" t="e">
        <f t="shared" ca="1" si="58"/>
        <v>#DIV/0!</v>
      </c>
      <c r="AS83" s="362"/>
      <c r="AT83" s="87" t="e">
        <f t="shared" ca="1" si="68"/>
        <v>#DIV/0!</v>
      </c>
      <c r="AU83" s="75" t="str">
        <f t="shared" si="59"/>
        <v>-</v>
      </c>
      <c r="AZ83" s="284">
        <v>8.2000000000000007E-3</v>
      </c>
      <c r="BG83" s="246">
        <f t="shared" ca="1" si="69"/>
        <v>48610</v>
      </c>
      <c r="BH83" s="287" t="e">
        <f t="shared" si="50"/>
        <v>#VALUE!</v>
      </c>
      <c r="BI83" s="288"/>
      <c r="BJ83" s="247" t="e">
        <f t="shared" si="75"/>
        <v>#VALUE!</v>
      </c>
      <c r="BK83" s="248"/>
      <c r="BL83" s="251" t="e">
        <f t="shared" si="76"/>
        <v>#VALUE!</v>
      </c>
      <c r="BM83" s="248"/>
      <c r="BN83" s="249" t="e">
        <f t="shared" si="60"/>
        <v>#VALUE!</v>
      </c>
      <c r="BO83" s="250"/>
      <c r="BQ83" s="53" t="e">
        <f t="shared" si="61"/>
        <v>#VALUE!</v>
      </c>
      <c r="BR83" s="233" t="e">
        <f t="shared" si="62"/>
        <v>#VALUE!</v>
      </c>
      <c r="BS83" s="245" t="e">
        <f t="shared" si="63"/>
        <v>#VALUE!</v>
      </c>
      <c r="BT83" s="245" t="e">
        <f t="shared" si="53"/>
        <v>#DIV/0!</v>
      </c>
      <c r="BU83" s="280" t="e">
        <f t="shared" si="78"/>
        <v>#VALUE!</v>
      </c>
    </row>
    <row r="84" spans="1:73" ht="13.95" customHeight="1" thickBot="1" x14ac:dyDescent="0.35">
      <c r="A84" s="43"/>
      <c r="B84" s="314" t="str">
        <f t="shared" si="38"/>
        <v/>
      </c>
      <c r="C84" s="314"/>
      <c r="D84" s="205" t="str">
        <f t="shared" si="70"/>
        <v/>
      </c>
      <c r="E84" s="313" t="str">
        <f t="shared" si="71"/>
        <v/>
      </c>
      <c r="F84" s="313"/>
      <c r="G84" s="313" t="str">
        <f t="shared" si="72"/>
        <v/>
      </c>
      <c r="H84" s="313"/>
      <c r="I84" s="202"/>
      <c r="J84" s="53"/>
      <c r="K84" s="53"/>
      <c r="L84" s="53"/>
      <c r="M84" s="53"/>
      <c r="N84" s="50"/>
      <c r="O84" s="98"/>
      <c r="AA84" s="196" t="str">
        <f t="shared" si="54"/>
        <v>-</v>
      </c>
      <c r="AB84" s="185" t="str">
        <f t="shared" si="64"/>
        <v>-</v>
      </c>
      <c r="AC84" s="353">
        <f t="shared" si="77"/>
        <v>81</v>
      </c>
      <c r="AD84" s="354"/>
      <c r="AE84" s="83" t="str">
        <f t="shared" si="65"/>
        <v>-</v>
      </c>
      <c r="AF84" s="84"/>
      <c r="AG84" s="355" t="str">
        <f t="shared" si="66"/>
        <v>-</v>
      </c>
      <c r="AH84" s="356"/>
      <c r="AI84" s="357" t="str">
        <f t="shared" si="67"/>
        <v>-</v>
      </c>
      <c r="AJ84" s="358"/>
      <c r="AK84" s="85">
        <f t="shared" ca="1" si="55"/>
        <v>48638</v>
      </c>
      <c r="AL84" s="353">
        <v>81</v>
      </c>
      <c r="AM84" s="354"/>
      <c r="AN84" s="86" t="e">
        <f t="shared" si="56"/>
        <v>#DIV/0!</v>
      </c>
      <c r="AO84" s="87"/>
      <c r="AP84" s="359" t="e">
        <f t="shared" ca="1" si="57"/>
        <v>#DIV/0!</v>
      </c>
      <c r="AQ84" s="360"/>
      <c r="AR84" s="361" t="e">
        <f t="shared" ca="1" si="58"/>
        <v>#DIV/0!</v>
      </c>
      <c r="AS84" s="362"/>
      <c r="AT84" s="87" t="e">
        <f t="shared" ca="1" si="68"/>
        <v>#DIV/0!</v>
      </c>
      <c r="AU84" s="75" t="str">
        <f t="shared" si="59"/>
        <v>-</v>
      </c>
      <c r="AZ84" s="284">
        <v>8.3000000000000001E-3</v>
      </c>
      <c r="BG84" s="246">
        <f t="shared" ca="1" si="69"/>
        <v>48638</v>
      </c>
      <c r="BH84" s="287" t="e">
        <f t="shared" si="50"/>
        <v>#VALUE!</v>
      </c>
      <c r="BI84" s="288"/>
      <c r="BJ84" s="247" t="e">
        <f>IF($BJ$4=0,BS83,BS84)</f>
        <v>#VALUE!</v>
      </c>
      <c r="BK84" s="248"/>
      <c r="BL84" s="251" t="e">
        <f>IF($AE$4=0,BR83,BR84)</f>
        <v>#VALUE!</v>
      </c>
      <c r="BM84" s="248"/>
      <c r="BN84" s="249" t="e">
        <f t="shared" si="60"/>
        <v>#VALUE!</v>
      </c>
      <c r="BO84" s="250"/>
      <c r="BQ84" s="53" t="e">
        <f t="shared" si="61"/>
        <v>#VALUE!</v>
      </c>
      <c r="BR84" s="233" t="e">
        <f t="shared" si="62"/>
        <v>#VALUE!</v>
      </c>
      <c r="BS84" s="245" t="e">
        <f t="shared" si="63"/>
        <v>#VALUE!</v>
      </c>
      <c r="BT84" s="245" t="e">
        <f t="shared" si="53"/>
        <v>#DIV/0!</v>
      </c>
      <c r="BU84" s="280" t="e">
        <f t="shared" si="78"/>
        <v>#VALUE!</v>
      </c>
    </row>
    <row r="85" spans="1:73" ht="13.95" customHeight="1" thickBot="1" x14ac:dyDescent="0.35">
      <c r="A85" s="43"/>
      <c r="B85" s="314" t="str">
        <f>IF(E12=60,"Всього:",IF(B84&lt;$E$12,B84+1,""))</f>
        <v/>
      </c>
      <c r="C85" s="314"/>
      <c r="D85" s="205" t="str">
        <f>IF(E12=60,SUM(D25:D84),IF(B84&lt;$E$12,IF($N$24="ні",AE64,BJ64),""))</f>
        <v/>
      </c>
      <c r="E85" s="313" t="str">
        <f>IF(E12=60,SUM(E25:F84),IF(B84&lt;$E$12,IF($N$24="ні",AG64,BL64),""))</f>
        <v/>
      </c>
      <c r="F85" s="313"/>
      <c r="G85" s="313" t="str">
        <f>IF(E12=60,SUM(G25:H84),IF(B84&lt;$E$12,IF($N$24="ні",AI64,BN64),""))</f>
        <v/>
      </c>
      <c r="H85" s="313"/>
      <c r="I85" s="202"/>
      <c r="J85" s="53"/>
      <c r="K85" s="53"/>
      <c r="L85" s="53"/>
      <c r="M85" s="53"/>
      <c r="N85" s="50"/>
      <c r="O85" s="98"/>
      <c r="AA85" s="196" t="str">
        <f t="shared" si="54"/>
        <v>-</v>
      </c>
      <c r="AB85" s="185" t="str">
        <f t="shared" si="64"/>
        <v>-</v>
      </c>
      <c r="AC85" s="353">
        <f t="shared" si="77"/>
        <v>82</v>
      </c>
      <c r="AD85" s="354"/>
      <c r="AE85" s="83" t="str">
        <f t="shared" si="65"/>
        <v>-</v>
      </c>
      <c r="AF85" s="84"/>
      <c r="AG85" s="355" t="str">
        <f t="shared" si="66"/>
        <v>-</v>
      </c>
      <c r="AH85" s="356"/>
      <c r="AI85" s="357" t="str">
        <f t="shared" si="67"/>
        <v>-</v>
      </c>
      <c r="AJ85" s="358"/>
      <c r="AK85" s="85">
        <f t="shared" ca="1" si="55"/>
        <v>48669</v>
      </c>
      <c r="AL85" s="353">
        <v>82</v>
      </c>
      <c r="AM85" s="354"/>
      <c r="AN85" s="86" t="e">
        <f t="shared" si="56"/>
        <v>#DIV/0!</v>
      </c>
      <c r="AO85" s="87"/>
      <c r="AP85" s="359" t="e">
        <f t="shared" ca="1" si="57"/>
        <v>#DIV/0!</v>
      </c>
      <c r="AQ85" s="360"/>
      <c r="AR85" s="361" t="e">
        <f t="shared" ca="1" si="58"/>
        <v>#DIV/0!</v>
      </c>
      <c r="AS85" s="362"/>
      <c r="AT85" s="87" t="e">
        <f t="shared" ca="1" si="68"/>
        <v>#DIV/0!</v>
      </c>
      <c r="AU85" s="75" t="str">
        <f t="shared" si="59"/>
        <v>-</v>
      </c>
      <c r="AZ85" s="284">
        <v>8.3999999999999995E-3</v>
      </c>
      <c r="BG85" s="246">
        <f t="shared" ca="1" si="69"/>
        <v>48669</v>
      </c>
      <c r="BH85" s="287" t="e">
        <f t="shared" si="50"/>
        <v>#VALUE!</v>
      </c>
      <c r="BI85" s="288"/>
      <c r="BJ85" s="247" t="e">
        <f t="shared" ref="BJ85:BJ88" si="79">IF($BJ$4=0,BS84,BS85)</f>
        <v>#VALUE!</v>
      </c>
      <c r="BK85" s="248"/>
      <c r="BL85" s="251" t="e">
        <f t="shared" ref="BL85:BL87" si="80">IF($AE$4=0,BR84,BR85)</f>
        <v>#VALUE!</v>
      </c>
      <c r="BM85" s="248"/>
      <c r="BN85" s="249" t="e">
        <f t="shared" si="60"/>
        <v>#VALUE!</v>
      </c>
      <c r="BO85" s="250"/>
      <c r="BQ85" s="53" t="e">
        <f t="shared" si="61"/>
        <v>#VALUE!</v>
      </c>
      <c r="BR85" s="233" t="e">
        <f t="shared" si="62"/>
        <v>#VALUE!</v>
      </c>
      <c r="BS85" s="245" t="e">
        <f t="shared" si="63"/>
        <v>#VALUE!</v>
      </c>
      <c r="BT85" s="245" t="e">
        <f t="shared" si="53"/>
        <v>#DIV/0!</v>
      </c>
      <c r="BU85" s="280" t="e">
        <f t="shared" si="78"/>
        <v>#VALUE!</v>
      </c>
    </row>
    <row r="86" spans="1:73" ht="13.95" customHeight="1" thickBot="1" x14ac:dyDescent="0.35">
      <c r="A86" s="43"/>
      <c r="B86" s="314" t="str">
        <f t="shared" si="38"/>
        <v/>
      </c>
      <c r="C86" s="314"/>
      <c r="D86" s="205" t="str">
        <f t="shared" ref="D86:D96" si="81">IF(B85&lt;$E$12,IF($N$24="ні",AE65,BJ65),"")</f>
        <v/>
      </c>
      <c r="E86" s="313" t="str">
        <f t="shared" ref="E86:E96" si="82">IF(B85&lt;$E$12,IF($N$24="ні",AG65,BL65),"")</f>
        <v/>
      </c>
      <c r="F86" s="313"/>
      <c r="G86" s="313" t="str">
        <f t="shared" ref="G86:G96" si="83">IF(B85&lt;$E$12,IF($N$24="ні",AI65,BN65),"")</f>
        <v/>
      </c>
      <c r="H86" s="313"/>
      <c r="I86" s="202"/>
      <c r="J86" s="53"/>
      <c r="K86" s="53"/>
      <c r="L86" s="53"/>
      <c r="M86" s="53"/>
      <c r="N86" s="50"/>
      <c r="O86" s="98"/>
      <c r="AA86" s="196" t="str">
        <f t="shared" si="54"/>
        <v>-</v>
      </c>
      <c r="AB86" s="185" t="str">
        <f t="shared" si="64"/>
        <v>-</v>
      </c>
      <c r="AC86" s="353">
        <f t="shared" si="77"/>
        <v>83</v>
      </c>
      <c r="AD86" s="354"/>
      <c r="AE86" s="83" t="str">
        <f t="shared" si="65"/>
        <v>-</v>
      </c>
      <c r="AF86" s="84"/>
      <c r="AG86" s="355" t="str">
        <f t="shared" si="66"/>
        <v>-</v>
      </c>
      <c r="AH86" s="356"/>
      <c r="AI86" s="357" t="str">
        <f t="shared" si="67"/>
        <v>-</v>
      </c>
      <c r="AJ86" s="358"/>
      <c r="AK86" s="85">
        <f t="shared" ca="1" si="55"/>
        <v>48699</v>
      </c>
      <c r="AL86" s="353">
        <v>83</v>
      </c>
      <c r="AM86" s="354"/>
      <c r="AN86" s="86" t="e">
        <f t="shared" si="56"/>
        <v>#DIV/0!</v>
      </c>
      <c r="AO86" s="87"/>
      <c r="AP86" s="359" t="e">
        <f t="shared" ca="1" si="57"/>
        <v>#DIV/0!</v>
      </c>
      <c r="AQ86" s="360"/>
      <c r="AR86" s="361" t="e">
        <f t="shared" ca="1" si="58"/>
        <v>#DIV/0!</v>
      </c>
      <c r="AS86" s="362"/>
      <c r="AT86" s="87" t="e">
        <f t="shared" ca="1" si="68"/>
        <v>#DIV/0!</v>
      </c>
      <c r="AU86" s="75" t="str">
        <f t="shared" si="59"/>
        <v>-</v>
      </c>
      <c r="AZ86" s="284">
        <v>8.5000000000000006E-3</v>
      </c>
      <c r="BG86" s="246">
        <f t="shared" ca="1" si="69"/>
        <v>48699</v>
      </c>
      <c r="BH86" s="287" t="e">
        <f t="shared" si="50"/>
        <v>#VALUE!</v>
      </c>
      <c r="BI86" s="288"/>
      <c r="BJ86" s="247" t="e">
        <f t="shared" si="79"/>
        <v>#VALUE!</v>
      </c>
      <c r="BK86" s="248"/>
      <c r="BL86" s="251" t="e">
        <f t="shared" si="80"/>
        <v>#VALUE!</v>
      </c>
      <c r="BM86" s="248"/>
      <c r="BN86" s="249" t="e">
        <f t="shared" si="60"/>
        <v>#VALUE!</v>
      </c>
      <c r="BO86" s="250"/>
      <c r="BQ86" s="53" t="e">
        <f t="shared" si="61"/>
        <v>#VALUE!</v>
      </c>
      <c r="BR86" s="233" t="e">
        <f t="shared" si="62"/>
        <v>#VALUE!</v>
      </c>
      <c r="BS86" s="245" t="e">
        <f>BQ86-BR86</f>
        <v>#VALUE!</v>
      </c>
      <c r="BT86" s="245" t="e">
        <f>BT85-BS86</f>
        <v>#DIV/0!</v>
      </c>
      <c r="BU86" s="280" t="e">
        <f t="shared" si="78"/>
        <v>#VALUE!</v>
      </c>
    </row>
    <row r="87" spans="1:73" ht="13.95" customHeight="1" thickBot="1" x14ac:dyDescent="0.35">
      <c r="A87" s="43"/>
      <c r="B87" s="314" t="str">
        <f t="shared" si="38"/>
        <v/>
      </c>
      <c r="C87" s="314"/>
      <c r="D87" s="205" t="str">
        <f t="shared" si="81"/>
        <v/>
      </c>
      <c r="E87" s="313" t="str">
        <f t="shared" si="82"/>
        <v/>
      </c>
      <c r="F87" s="313"/>
      <c r="G87" s="313" t="str">
        <f t="shared" si="83"/>
        <v/>
      </c>
      <c r="H87" s="313"/>
      <c r="I87" s="202"/>
      <c r="J87" s="53"/>
      <c r="K87" s="53"/>
      <c r="L87" s="53"/>
      <c r="M87" s="53"/>
      <c r="N87" s="50"/>
      <c r="O87" s="98"/>
      <c r="AA87" s="196" t="str">
        <f t="shared" si="54"/>
        <v>-</v>
      </c>
      <c r="AB87" s="185" t="str">
        <f t="shared" si="64"/>
        <v>-</v>
      </c>
      <c r="AC87" s="353">
        <f>AC86+1</f>
        <v>84</v>
      </c>
      <c r="AD87" s="354"/>
      <c r="AE87" s="83" t="str">
        <f t="shared" si="65"/>
        <v>-</v>
      </c>
      <c r="AF87" s="84"/>
      <c r="AG87" s="355" t="str">
        <f t="shared" si="66"/>
        <v>-</v>
      </c>
      <c r="AH87" s="356"/>
      <c r="AI87" s="357" t="str">
        <f t="shared" si="67"/>
        <v>-</v>
      </c>
      <c r="AJ87" s="358"/>
      <c r="AK87" s="85">
        <f t="shared" ca="1" si="55"/>
        <v>48730</v>
      </c>
      <c r="AL87" s="353">
        <v>84</v>
      </c>
      <c r="AM87" s="354"/>
      <c r="AN87" s="86" t="e">
        <f t="shared" si="56"/>
        <v>#DIV/0!</v>
      </c>
      <c r="AO87" s="87"/>
      <c r="AP87" s="359" t="e">
        <f t="shared" ca="1" si="57"/>
        <v>#DIV/0!</v>
      </c>
      <c r="AQ87" s="360"/>
      <c r="AR87" s="361" t="e">
        <f t="shared" ca="1" si="58"/>
        <v>#DIV/0!</v>
      </c>
      <c r="AS87" s="362"/>
      <c r="AT87" s="87" t="e">
        <f t="shared" ca="1" si="68"/>
        <v>#DIV/0!</v>
      </c>
      <c r="AU87" s="75" t="str">
        <f t="shared" si="59"/>
        <v>-</v>
      </c>
      <c r="AZ87" s="284">
        <v>8.6E-3</v>
      </c>
      <c r="BG87" s="246">
        <f t="shared" ca="1" si="69"/>
        <v>48730</v>
      </c>
      <c r="BH87" s="287" t="e">
        <f t="shared" si="50"/>
        <v>#VALUE!</v>
      </c>
      <c r="BI87" s="288"/>
      <c r="BJ87" s="247" t="e">
        <f t="shared" si="79"/>
        <v>#VALUE!</v>
      </c>
      <c r="BK87" s="248"/>
      <c r="BL87" s="251" t="e">
        <f t="shared" si="80"/>
        <v>#VALUE!</v>
      </c>
      <c r="BM87" s="248"/>
      <c r="BN87" s="249" t="e">
        <f t="shared" si="60"/>
        <v>#VALUE!</v>
      </c>
      <c r="BO87" s="250"/>
      <c r="BQ87" s="53" t="e">
        <f t="shared" si="61"/>
        <v>#VALUE!</v>
      </c>
      <c r="BR87" s="233" t="e">
        <f t="shared" si="62"/>
        <v>#VALUE!</v>
      </c>
      <c r="BS87" s="245" t="e">
        <f>BQ87-BR87</f>
        <v>#VALUE!</v>
      </c>
      <c r="BT87" s="254" t="e">
        <f>BT86-BS87</f>
        <v>#DIV/0!</v>
      </c>
      <c r="BU87" s="280" t="e">
        <f t="shared" si="78"/>
        <v>#VALUE!</v>
      </c>
    </row>
    <row r="88" spans="1:73" ht="13.95" customHeight="1" thickBot="1" x14ac:dyDescent="0.35">
      <c r="A88" s="43"/>
      <c r="B88" s="314" t="str">
        <f t="shared" si="38"/>
        <v/>
      </c>
      <c r="C88" s="314"/>
      <c r="D88" s="205" t="str">
        <f t="shared" si="81"/>
        <v/>
      </c>
      <c r="E88" s="313" t="str">
        <f t="shared" si="82"/>
        <v/>
      </c>
      <c r="F88" s="313"/>
      <c r="G88" s="313" t="str">
        <f t="shared" si="83"/>
        <v/>
      </c>
      <c r="H88" s="313"/>
      <c r="I88" s="202"/>
      <c r="J88" s="53"/>
      <c r="K88" s="53"/>
      <c r="L88" s="53"/>
      <c r="M88" s="53"/>
      <c r="N88" s="50"/>
      <c r="O88" s="98"/>
      <c r="AB88" s="184"/>
      <c r="AC88" s="397" t="s">
        <v>454</v>
      </c>
      <c r="AD88" s="398"/>
      <c r="AE88" s="83" t="b">
        <f>IF($E$12=$R$2,SUM(AE4:AF15),IF($E$12=$R$3,SUM(AE4:AF27),IF($E$12=$R$4,SUM(AE4:AF39),IF($E$12=$R$5,SUM(AE4:AF51),IF($E$12=$R$6,SUM(AE4:AF63),IF($E$12=$R$7,SUM(AE4:AF75),IF($E$12=$R$8,SUM(AE4:AF87))))))))</f>
        <v>0</v>
      </c>
      <c r="AF88" s="183"/>
      <c r="AG88" s="355" t="b">
        <f>IF($E$12=$R$2,SUM(AG4:AH15),IF($E$12=$R$3,SUM(AG4:AH27),IF($E$12=$R$4,SUM(AG4:AH39),IF($E$12=$R$5,SUM(AG4:AH51),IF($E$12=$R$6,SUM(AG4:AH63),IF($E$12=$R$7,SUM(AG4:AH75),IF($E$12=$R$8,SUM(AG4:AH87))))))))</f>
        <v>0</v>
      </c>
      <c r="AH88" s="356"/>
      <c r="AI88" s="357" t="b">
        <f>IF($E$12=$R$2,SUM(AI4:AJ15),IF($E$12=$R$3,SUM(AI4:AJ27),IF($E$12=$R$4,SUM(AI4:AJ39),IF($E$12=$R$5,SUM(AI4:AJ51),IF($E$12=$R$6,SUM(AI4:AJ63),IF($E$12=$R$7,SUM(AI4:AJ75),IF($E$12=$R$8,SUM(AI4:AJ87))))))))</f>
        <v>0</v>
      </c>
      <c r="AJ88" s="358"/>
      <c r="AK88" s="85">
        <f t="shared" ca="1" si="55"/>
        <v>48760</v>
      </c>
      <c r="AL88" s="353">
        <v>85</v>
      </c>
      <c r="AM88" s="354"/>
      <c r="AN88" s="86" t="e">
        <f t="shared" si="56"/>
        <v>#DIV/0!</v>
      </c>
      <c r="AO88" s="62"/>
      <c r="AP88" s="359" t="e">
        <f t="shared" ca="1" si="57"/>
        <v>#DIV/0!</v>
      </c>
      <c r="AQ88" s="360"/>
      <c r="AR88" s="361" t="e">
        <f t="shared" ca="1" si="58"/>
        <v>#DIV/0!</v>
      </c>
      <c r="AS88" s="362"/>
      <c r="AT88" s="87" t="e">
        <f t="shared" ca="1" si="68"/>
        <v>#DIV/0!</v>
      </c>
      <c r="AU88" s="75" t="b">
        <f t="shared" si="59"/>
        <v>0</v>
      </c>
      <c r="AZ88" s="284">
        <v>8.6999999999999994E-3</v>
      </c>
      <c r="BG88" s="255">
        <f t="shared" ca="1" si="69"/>
        <v>48760</v>
      </c>
      <c r="BH88" s="287" t="e">
        <f t="shared" si="50"/>
        <v>#VALUE!</v>
      </c>
      <c r="BI88" s="288"/>
      <c r="BJ88" s="247" t="e">
        <f t="shared" si="79"/>
        <v>#VALUE!</v>
      </c>
      <c r="BK88" s="248"/>
      <c r="BL88" s="251" t="e">
        <f>IF($AE$4=0,BR87,BR88)</f>
        <v>#VALUE!</v>
      </c>
      <c r="BM88" s="256"/>
      <c r="BN88" s="257" t="e">
        <f>BL88+BJ88</f>
        <v>#VALUE!</v>
      </c>
      <c r="BO88" s="258"/>
    </row>
    <row r="89" spans="1:73" ht="13.95" customHeight="1" x14ac:dyDescent="0.3">
      <c r="A89" s="43"/>
      <c r="B89" s="314" t="str">
        <f t="shared" si="38"/>
        <v/>
      </c>
      <c r="C89" s="314"/>
      <c r="D89" s="205" t="str">
        <f t="shared" si="81"/>
        <v/>
      </c>
      <c r="E89" s="313" t="str">
        <f t="shared" si="82"/>
        <v/>
      </c>
      <c r="F89" s="313"/>
      <c r="G89" s="313" t="str">
        <f t="shared" si="83"/>
        <v/>
      </c>
      <c r="H89" s="313"/>
      <c r="I89" s="202"/>
      <c r="J89" s="53"/>
      <c r="K89" s="53"/>
      <c r="L89" s="53"/>
      <c r="M89" s="53"/>
      <c r="N89" s="50"/>
      <c r="O89" s="98"/>
      <c r="AB89" s="178"/>
      <c r="AC89" s="405"/>
      <c r="AD89" s="405"/>
      <c r="AE89" s="179"/>
      <c r="AG89" s="406"/>
      <c r="AH89" s="406"/>
      <c r="AI89" s="407"/>
      <c r="AJ89" s="407"/>
      <c r="AK89" s="130">
        <f t="shared" ca="1" si="55"/>
        <v>48791</v>
      </c>
      <c r="AL89" s="353">
        <v>86</v>
      </c>
      <c r="AM89" s="354"/>
      <c r="AN89" s="86" t="e">
        <f t="shared" si="56"/>
        <v>#DIV/0!</v>
      </c>
      <c r="AO89" s="62"/>
      <c r="AP89" s="359" t="e">
        <f t="shared" ca="1" si="57"/>
        <v>#DIV/0!</v>
      </c>
      <c r="AQ89" s="360"/>
      <c r="AR89" s="361" t="e">
        <f t="shared" ca="1" si="58"/>
        <v>#DIV/0!</v>
      </c>
      <c r="AS89" s="362"/>
      <c r="AT89" s="87" t="e">
        <f t="shared" ca="1" si="68"/>
        <v>#DIV/0!</v>
      </c>
      <c r="AU89" s="75">
        <f t="shared" si="59"/>
        <v>0</v>
      </c>
      <c r="AZ89" s="284">
        <v>8.8000000000000005E-3</v>
      </c>
      <c r="BL89" s="41" t="b">
        <f>IF($E$12=$R$2,SUM(BL4:BL15),IF($E$12=$R$3,SUM(BL4:BL39),IF($E$12=$R$4,SUM(BL4:BL87),IF($E$12=$R$5,SUM(BL4:BL51),IF($E$12=$R$6,SUM(BL4:BL63),IF($E$12=$R$7,SUM(BL4:BL75),IF($E$12=$R$8,SUM(BL4:BL87))))))))</f>
        <v>0</v>
      </c>
    </row>
    <row r="90" spans="1:73" ht="13.95" customHeight="1" thickBot="1" x14ac:dyDescent="0.35">
      <c r="A90" s="43"/>
      <c r="B90" s="314" t="str">
        <f t="shared" si="38"/>
        <v/>
      </c>
      <c r="C90" s="314"/>
      <c r="D90" s="205" t="str">
        <f t="shared" si="81"/>
        <v/>
      </c>
      <c r="E90" s="313" t="str">
        <f t="shared" si="82"/>
        <v/>
      </c>
      <c r="F90" s="313"/>
      <c r="G90" s="313" t="str">
        <f t="shared" si="83"/>
        <v/>
      </c>
      <c r="H90" s="313"/>
      <c r="I90" s="202"/>
      <c r="J90" s="53"/>
      <c r="K90" s="53"/>
      <c r="L90" s="53"/>
      <c r="M90" s="53"/>
      <c r="N90" s="50"/>
      <c r="O90" s="98"/>
      <c r="AB90" s="180"/>
      <c r="AC90" s="399"/>
      <c r="AD90" s="399"/>
      <c r="AE90" s="181"/>
      <c r="AF90" s="182"/>
      <c r="AG90" s="400"/>
      <c r="AH90" s="400"/>
      <c r="AI90" s="400"/>
      <c r="AJ90" s="400"/>
      <c r="AL90" s="397" t="s">
        <v>454</v>
      </c>
      <c r="AM90" s="398"/>
      <c r="AN90" s="144" t="e">
        <f ca="1">SUM(AN4:AN89)</f>
        <v>#DIV/0!</v>
      </c>
      <c r="AO90" s="145"/>
      <c r="AP90" s="401" t="e">
        <f ca="1">SUM(AP4:AQ88)</f>
        <v>#DIV/0!</v>
      </c>
      <c r="AQ90" s="402"/>
      <c r="AR90" s="403" t="e">
        <f ca="1">SUM(AR4:AS89)</f>
        <v>#DIV/0!</v>
      </c>
      <c r="AS90" s="404"/>
      <c r="AT90" s="145"/>
      <c r="AU90" s="75">
        <f t="shared" si="59"/>
        <v>0</v>
      </c>
      <c r="AZ90" s="284">
        <v>8.8999999999999999E-3</v>
      </c>
    </row>
    <row r="91" spans="1:73" ht="13.95" customHeight="1" x14ac:dyDescent="0.25">
      <c r="A91" s="43"/>
      <c r="B91" s="314" t="str">
        <f t="shared" si="38"/>
        <v/>
      </c>
      <c r="C91" s="314"/>
      <c r="D91" s="205" t="str">
        <f t="shared" si="81"/>
        <v/>
      </c>
      <c r="E91" s="313" t="str">
        <f t="shared" si="82"/>
        <v/>
      </c>
      <c r="F91" s="313"/>
      <c r="G91" s="313" t="str">
        <f t="shared" si="83"/>
        <v/>
      </c>
      <c r="H91" s="313"/>
      <c r="I91" s="202"/>
      <c r="J91" s="53"/>
      <c r="K91" s="53"/>
      <c r="L91" s="53"/>
      <c r="M91" s="53"/>
      <c r="N91" s="50"/>
      <c r="O91" s="98"/>
      <c r="AO91" s="62"/>
      <c r="AZ91" s="284">
        <v>8.9999999999999993E-3</v>
      </c>
    </row>
    <row r="92" spans="1:73" ht="13.95" customHeight="1" x14ac:dyDescent="0.3">
      <c r="A92" s="43"/>
      <c r="B92" s="314" t="str">
        <f t="shared" si="38"/>
        <v/>
      </c>
      <c r="C92" s="314"/>
      <c r="D92" s="205" t="str">
        <f t="shared" si="81"/>
        <v/>
      </c>
      <c r="E92" s="313" t="str">
        <f t="shared" si="82"/>
        <v/>
      </c>
      <c r="F92" s="313"/>
      <c r="G92" s="313" t="str">
        <f t="shared" si="83"/>
        <v/>
      </c>
      <c r="H92" s="313"/>
      <c r="I92" s="202"/>
      <c r="J92" s="58"/>
      <c r="K92" s="53"/>
      <c r="L92" s="53"/>
      <c r="M92" s="53"/>
      <c r="N92" s="50"/>
      <c r="O92" s="98"/>
      <c r="AO92" s="62"/>
      <c r="AZ92" s="284">
        <v>9.1000000000000004E-3</v>
      </c>
    </row>
    <row r="93" spans="1:73" ht="13.95" customHeight="1" x14ac:dyDescent="0.3">
      <c r="A93" s="43"/>
      <c r="B93" s="314" t="str">
        <f t="shared" si="38"/>
        <v/>
      </c>
      <c r="C93" s="314"/>
      <c r="D93" s="205" t="str">
        <f t="shared" si="81"/>
        <v/>
      </c>
      <c r="E93" s="313" t="str">
        <f t="shared" si="82"/>
        <v/>
      </c>
      <c r="F93" s="313"/>
      <c r="G93" s="313" t="str">
        <f t="shared" si="83"/>
        <v/>
      </c>
      <c r="H93" s="313"/>
      <c r="I93" s="202"/>
      <c r="J93" s="58"/>
      <c r="K93" s="53"/>
      <c r="L93" s="53"/>
      <c r="M93" s="53"/>
      <c r="N93" s="50"/>
      <c r="O93" s="98"/>
      <c r="AO93" s="62"/>
      <c r="AZ93" s="284">
        <v>9.1999999999999998E-3</v>
      </c>
    </row>
    <row r="94" spans="1:73" ht="13.95" customHeight="1" x14ac:dyDescent="0.3">
      <c r="A94" s="43"/>
      <c r="B94" s="314" t="str">
        <f t="shared" si="38"/>
        <v/>
      </c>
      <c r="C94" s="314"/>
      <c r="D94" s="205" t="str">
        <f t="shared" si="81"/>
        <v/>
      </c>
      <c r="E94" s="313" t="str">
        <f t="shared" si="82"/>
        <v/>
      </c>
      <c r="F94" s="313"/>
      <c r="G94" s="313" t="str">
        <f t="shared" si="83"/>
        <v/>
      </c>
      <c r="H94" s="313"/>
      <c r="I94" s="202"/>
      <c r="J94" s="58"/>
      <c r="K94" s="53"/>
      <c r="L94" s="53"/>
      <c r="M94" s="53"/>
      <c r="N94" s="50"/>
      <c r="O94" s="98"/>
      <c r="AO94" s="62"/>
      <c r="AZ94" s="284">
        <v>9.2999999999999992E-3</v>
      </c>
    </row>
    <row r="95" spans="1:73" ht="13.95" customHeight="1" x14ac:dyDescent="0.3">
      <c r="A95" s="43"/>
      <c r="B95" s="314" t="str">
        <f t="shared" si="38"/>
        <v/>
      </c>
      <c r="C95" s="314"/>
      <c r="D95" s="205" t="str">
        <f t="shared" si="81"/>
        <v/>
      </c>
      <c r="E95" s="313" t="str">
        <f t="shared" si="82"/>
        <v/>
      </c>
      <c r="F95" s="313"/>
      <c r="G95" s="313" t="str">
        <f t="shared" si="83"/>
        <v/>
      </c>
      <c r="H95" s="313"/>
      <c r="I95" s="202"/>
      <c r="J95" s="58"/>
      <c r="K95" s="53"/>
      <c r="L95" s="53"/>
      <c r="M95" s="53"/>
      <c r="N95" s="50"/>
      <c r="O95" s="98"/>
      <c r="AO95" s="62"/>
      <c r="AZ95" s="284">
        <v>9.4000000000000004E-3</v>
      </c>
    </row>
    <row r="96" spans="1:73" ht="13.95" customHeight="1" x14ac:dyDescent="0.3">
      <c r="A96" s="43"/>
      <c r="B96" s="314" t="str">
        <f t="shared" si="38"/>
        <v/>
      </c>
      <c r="C96" s="314"/>
      <c r="D96" s="205" t="str">
        <f t="shared" si="81"/>
        <v/>
      </c>
      <c r="E96" s="313" t="str">
        <f t="shared" si="82"/>
        <v/>
      </c>
      <c r="F96" s="313"/>
      <c r="G96" s="313" t="str">
        <f t="shared" si="83"/>
        <v/>
      </c>
      <c r="H96" s="313"/>
      <c r="I96" s="202"/>
      <c r="J96" s="58"/>
      <c r="K96" s="53"/>
      <c r="L96" s="53"/>
      <c r="M96" s="53"/>
      <c r="N96" s="50"/>
      <c r="O96" s="98"/>
      <c r="AO96" s="62"/>
      <c r="AZ96" s="284">
        <v>9.4999999999999998E-3</v>
      </c>
    </row>
    <row r="97" spans="1:52" ht="13.95" customHeight="1" x14ac:dyDescent="0.3">
      <c r="A97" s="43"/>
      <c r="B97" s="314" t="str">
        <f>IF(E12=72,"Всього:",IF(B96&lt;$E$12,B96+1,""))</f>
        <v/>
      </c>
      <c r="C97" s="314"/>
      <c r="D97" s="205" t="str">
        <f>IF(E12=72,SUM(D25:D96),IF(B96&lt;$E$12,IF($N$24="ні",AE76,BJ76),""))</f>
        <v/>
      </c>
      <c r="E97" s="313" t="str">
        <f>IF(E12=72,SUM(E25:F96),IF(B96&lt;$E$12,IF($N$24="ні",AG76,BL76),""))</f>
        <v/>
      </c>
      <c r="F97" s="313"/>
      <c r="G97" s="313" t="str">
        <f>IF(E12=72,SUM(G25:H96),IF(B96&lt;$E$12,IF($N$24="ні",AI76,BN76),""))</f>
        <v/>
      </c>
      <c r="H97" s="313"/>
      <c r="I97" s="202"/>
      <c r="J97" s="58"/>
      <c r="K97" s="53"/>
      <c r="L97" s="53"/>
      <c r="M97" s="53"/>
      <c r="N97" s="50"/>
      <c r="O97" s="98"/>
      <c r="AO97" s="62"/>
      <c r="AZ97" s="284">
        <v>9.5999999999999992E-3</v>
      </c>
    </row>
    <row r="98" spans="1:52" ht="13.95" customHeight="1" x14ac:dyDescent="0.3">
      <c r="A98" s="43"/>
      <c r="B98" s="314" t="str">
        <f t="shared" si="38"/>
        <v/>
      </c>
      <c r="C98" s="314"/>
      <c r="D98" s="205" t="str">
        <f t="shared" ref="D98:D108" si="84">IF(B97&lt;$E$12,IF($N$24="ні",AE77,BJ77),"")</f>
        <v/>
      </c>
      <c r="E98" s="313" t="str">
        <f t="shared" ref="E98:E108" si="85">IF(B97&lt;$E$12,IF($N$24="ні",AG77,BL77),"")</f>
        <v/>
      </c>
      <c r="F98" s="313"/>
      <c r="G98" s="313" t="str">
        <f t="shared" ref="G98:G108" si="86">IF(B97&lt;$E$12,IF($N$24="ні",AI77,BN77),"")</f>
        <v/>
      </c>
      <c r="H98" s="313"/>
      <c r="I98" s="202"/>
      <c r="J98" s="52"/>
      <c r="K98" s="50"/>
      <c r="L98" s="50"/>
      <c r="M98" s="50"/>
      <c r="N98" s="50"/>
      <c r="O98" s="98"/>
      <c r="AO98" s="62"/>
      <c r="AZ98" s="284">
        <v>9.7000000000000003E-3</v>
      </c>
    </row>
    <row r="99" spans="1:52" ht="13.95" customHeight="1" x14ac:dyDescent="0.3">
      <c r="A99" s="43"/>
      <c r="B99" s="314" t="str">
        <f t="shared" si="38"/>
        <v/>
      </c>
      <c r="C99" s="314"/>
      <c r="D99" s="205" t="str">
        <f t="shared" si="84"/>
        <v/>
      </c>
      <c r="E99" s="313" t="str">
        <f t="shared" si="85"/>
        <v/>
      </c>
      <c r="F99" s="313"/>
      <c r="G99" s="313" t="str">
        <f t="shared" si="86"/>
        <v/>
      </c>
      <c r="H99" s="313"/>
      <c r="I99" s="202"/>
      <c r="J99" s="52"/>
      <c r="K99" s="50"/>
      <c r="L99" s="50"/>
      <c r="M99" s="50"/>
      <c r="N99" s="50"/>
      <c r="AO99" s="62"/>
      <c r="AZ99" s="284">
        <v>9.7999999999999997E-3</v>
      </c>
    </row>
    <row r="100" spans="1:52" ht="13.95" customHeight="1" x14ac:dyDescent="0.3">
      <c r="A100" s="43"/>
      <c r="B100" s="314" t="str">
        <f t="shared" si="38"/>
        <v/>
      </c>
      <c r="C100" s="314"/>
      <c r="D100" s="205" t="str">
        <f t="shared" si="84"/>
        <v/>
      </c>
      <c r="E100" s="313" t="str">
        <f t="shared" si="85"/>
        <v/>
      </c>
      <c r="F100" s="313"/>
      <c r="G100" s="313" t="str">
        <f t="shared" si="86"/>
        <v/>
      </c>
      <c r="H100" s="313"/>
      <c r="I100" s="202"/>
      <c r="J100" s="52"/>
      <c r="K100" s="50"/>
      <c r="L100" s="50"/>
      <c r="M100" s="50"/>
      <c r="N100" s="50"/>
      <c r="AO100" s="62"/>
      <c r="AZ100" s="284">
        <v>9.9000000000000008E-3</v>
      </c>
    </row>
    <row r="101" spans="1:52" ht="13.95" customHeight="1" x14ac:dyDescent="0.3">
      <c r="A101" s="43"/>
      <c r="B101" s="314" t="str">
        <f t="shared" si="38"/>
        <v/>
      </c>
      <c r="C101" s="314"/>
      <c r="D101" s="205" t="str">
        <f t="shared" si="84"/>
        <v/>
      </c>
      <c r="E101" s="313" t="str">
        <f t="shared" si="85"/>
        <v/>
      </c>
      <c r="F101" s="313"/>
      <c r="G101" s="313" t="str">
        <f t="shared" si="86"/>
        <v/>
      </c>
      <c r="H101" s="313"/>
      <c r="I101" s="202"/>
      <c r="J101" s="52"/>
      <c r="K101" s="50"/>
      <c r="L101" s="50"/>
      <c r="M101" s="50"/>
      <c r="N101" s="50"/>
      <c r="AO101" s="62"/>
      <c r="AZ101" s="284">
        <v>0.01</v>
      </c>
    </row>
    <row r="102" spans="1:52" ht="13.95" customHeight="1" x14ac:dyDescent="0.3">
      <c r="A102" s="43"/>
      <c r="B102" s="314" t="str">
        <f t="shared" ref="B102:B108" si="87">IF(B101&lt;$E$12,B101+1,"")</f>
        <v/>
      </c>
      <c r="C102" s="314"/>
      <c r="D102" s="205" t="str">
        <f t="shared" si="84"/>
        <v/>
      </c>
      <c r="E102" s="313" t="str">
        <f t="shared" si="85"/>
        <v/>
      </c>
      <c r="F102" s="313"/>
      <c r="G102" s="313" t="str">
        <f t="shared" si="86"/>
        <v/>
      </c>
      <c r="H102" s="313"/>
      <c r="I102" s="202"/>
      <c r="J102" s="52"/>
      <c r="K102" s="50"/>
      <c r="L102" s="50"/>
      <c r="M102" s="50"/>
      <c r="N102" s="50"/>
      <c r="AO102" s="62"/>
      <c r="AZ102" s="284">
        <v>1.01E-2</v>
      </c>
    </row>
    <row r="103" spans="1:52" ht="13.95" customHeight="1" x14ac:dyDescent="0.3">
      <c r="A103" s="43"/>
      <c r="B103" s="314" t="str">
        <f t="shared" si="87"/>
        <v/>
      </c>
      <c r="C103" s="314"/>
      <c r="D103" s="205" t="str">
        <f t="shared" si="84"/>
        <v/>
      </c>
      <c r="E103" s="313" t="str">
        <f t="shared" si="85"/>
        <v/>
      </c>
      <c r="F103" s="313"/>
      <c r="G103" s="313" t="str">
        <f t="shared" si="86"/>
        <v/>
      </c>
      <c r="H103" s="313"/>
      <c r="I103" s="202"/>
      <c r="J103" s="52"/>
      <c r="K103" s="50"/>
      <c r="L103" s="50"/>
      <c r="M103" s="50"/>
      <c r="N103" s="50"/>
      <c r="AO103" s="62"/>
      <c r="AZ103" s="284">
        <v>1.0200000000000001E-2</v>
      </c>
    </row>
    <row r="104" spans="1:52" ht="13.95" customHeight="1" x14ac:dyDescent="0.3">
      <c r="A104" s="43"/>
      <c r="B104" s="314" t="str">
        <f t="shared" si="87"/>
        <v/>
      </c>
      <c r="C104" s="314"/>
      <c r="D104" s="205" t="str">
        <f t="shared" si="84"/>
        <v/>
      </c>
      <c r="E104" s="313" t="str">
        <f t="shared" si="85"/>
        <v/>
      </c>
      <c r="F104" s="313"/>
      <c r="G104" s="313" t="str">
        <f t="shared" si="86"/>
        <v/>
      </c>
      <c r="H104" s="313"/>
      <c r="I104" s="202"/>
      <c r="J104" s="52"/>
      <c r="K104" s="50"/>
      <c r="L104" s="50"/>
      <c r="M104" s="50"/>
      <c r="N104" s="50"/>
      <c r="AO104" s="62"/>
      <c r="AZ104" s="284">
        <v>1.03E-2</v>
      </c>
    </row>
    <row r="105" spans="1:52" ht="13.95" customHeight="1" x14ac:dyDescent="0.3">
      <c r="A105" s="43"/>
      <c r="B105" s="314" t="str">
        <f t="shared" si="87"/>
        <v/>
      </c>
      <c r="C105" s="314"/>
      <c r="D105" s="205" t="str">
        <f t="shared" si="84"/>
        <v/>
      </c>
      <c r="E105" s="313" t="str">
        <f t="shared" si="85"/>
        <v/>
      </c>
      <c r="F105" s="313"/>
      <c r="G105" s="313" t="str">
        <f t="shared" si="86"/>
        <v/>
      </c>
      <c r="H105" s="313"/>
      <c r="I105" s="202"/>
      <c r="J105" s="52"/>
      <c r="K105" s="50"/>
      <c r="L105" s="50"/>
      <c r="M105" s="50"/>
      <c r="N105" s="50"/>
      <c r="AO105" s="62"/>
      <c r="AZ105" s="284">
        <v>1.04E-2</v>
      </c>
    </row>
    <row r="106" spans="1:52" ht="13.95" customHeight="1" x14ac:dyDescent="0.3">
      <c r="A106" s="43"/>
      <c r="B106" s="314" t="str">
        <f t="shared" si="87"/>
        <v/>
      </c>
      <c r="C106" s="314"/>
      <c r="D106" s="205" t="str">
        <f t="shared" si="84"/>
        <v/>
      </c>
      <c r="E106" s="313" t="str">
        <f t="shared" si="85"/>
        <v/>
      </c>
      <c r="F106" s="313"/>
      <c r="G106" s="313" t="str">
        <f t="shared" si="86"/>
        <v/>
      </c>
      <c r="H106" s="313"/>
      <c r="I106" s="202"/>
      <c r="J106" s="52"/>
      <c r="K106" s="50"/>
      <c r="L106" s="50"/>
      <c r="M106" s="50"/>
      <c r="N106" s="50"/>
      <c r="AO106" s="62"/>
      <c r="AZ106" s="284">
        <v>1.0500000000000001E-2</v>
      </c>
    </row>
    <row r="107" spans="1:52" x14ac:dyDescent="0.3">
      <c r="A107" s="43"/>
      <c r="B107" s="314" t="str">
        <f t="shared" si="87"/>
        <v/>
      </c>
      <c r="C107" s="314"/>
      <c r="D107" s="205" t="str">
        <f t="shared" si="84"/>
        <v/>
      </c>
      <c r="E107" s="313" t="str">
        <f t="shared" si="85"/>
        <v/>
      </c>
      <c r="F107" s="313"/>
      <c r="G107" s="313" t="str">
        <f t="shared" si="86"/>
        <v/>
      </c>
      <c r="H107" s="313"/>
      <c r="I107" s="202"/>
      <c r="J107" s="52"/>
      <c r="K107" s="50"/>
      <c r="L107" s="50"/>
      <c r="M107" s="50"/>
      <c r="N107" s="50"/>
      <c r="AO107" s="62"/>
      <c r="AZ107" s="284">
        <v>1.06E-2</v>
      </c>
    </row>
    <row r="108" spans="1:52" x14ac:dyDescent="0.3">
      <c r="A108" s="43"/>
      <c r="B108" s="314" t="str">
        <f t="shared" si="87"/>
        <v/>
      </c>
      <c r="C108" s="314"/>
      <c r="D108" s="205" t="str">
        <f t="shared" si="84"/>
        <v/>
      </c>
      <c r="E108" s="313" t="str">
        <f t="shared" si="85"/>
        <v/>
      </c>
      <c r="F108" s="313"/>
      <c r="G108" s="313" t="str">
        <f t="shared" si="86"/>
        <v/>
      </c>
      <c r="H108" s="313"/>
      <c r="I108" s="201"/>
      <c r="J108" s="52"/>
      <c r="K108" s="50"/>
      <c r="L108" s="50"/>
      <c r="M108" s="50"/>
      <c r="N108" s="50"/>
      <c r="AO108" s="62"/>
      <c r="AZ108" s="284">
        <v>1.0699999999999999E-2</v>
      </c>
    </row>
    <row r="109" spans="1:52" x14ac:dyDescent="0.3">
      <c r="A109" s="43"/>
      <c r="B109" s="206" t="str">
        <f>IF(E12=84,"Всього:","")</f>
        <v/>
      </c>
      <c r="C109" s="206"/>
      <c r="D109" s="205" t="str">
        <f>IF(E12=84,SUM(D25:D108),"")</f>
        <v/>
      </c>
      <c r="E109" s="313" t="str">
        <f>IF(E12=84,SUM(E25:F108),"")</f>
        <v/>
      </c>
      <c r="F109" s="313"/>
      <c r="G109" s="313" t="str">
        <f>IF(E12=84,SUM(G25:H108),"")</f>
        <v/>
      </c>
      <c r="H109" s="313"/>
      <c r="I109" s="113"/>
      <c r="J109" s="52"/>
      <c r="K109" s="50"/>
      <c r="L109" s="50"/>
      <c r="M109" s="50"/>
      <c r="N109" s="50"/>
      <c r="AO109" s="62"/>
      <c r="AZ109" s="284">
        <v>1.0800000000000001E-2</v>
      </c>
    </row>
    <row r="110" spans="1:52" x14ac:dyDescent="0.3">
      <c r="A110" s="43"/>
      <c r="B110" s="118"/>
      <c r="C110" s="200"/>
      <c r="D110" s="61"/>
      <c r="E110" s="61"/>
      <c r="F110" s="61"/>
      <c r="G110" s="61"/>
      <c r="H110" s="408"/>
      <c r="I110" s="408"/>
      <c r="J110" s="52"/>
      <c r="K110" s="50"/>
      <c r="L110" s="50"/>
      <c r="M110" s="50"/>
      <c r="N110" s="50"/>
      <c r="AO110" s="62"/>
      <c r="AZ110" s="284">
        <v>1.09E-2</v>
      </c>
    </row>
    <row r="111" spans="1:52" x14ac:dyDescent="0.3">
      <c r="B111" s="118"/>
      <c r="C111" s="200"/>
      <c r="D111" s="61"/>
      <c r="E111" s="61"/>
      <c r="F111" s="61"/>
      <c r="G111" s="61"/>
      <c r="H111" s="408"/>
      <c r="I111" s="408"/>
      <c r="J111" s="52"/>
      <c r="K111" s="50"/>
      <c r="L111" s="50"/>
      <c r="M111" s="50"/>
      <c r="N111" s="50"/>
      <c r="AO111" s="62"/>
      <c r="AZ111" s="284">
        <v>1.0999999999999999E-2</v>
      </c>
    </row>
    <row r="112" spans="1:52" x14ac:dyDescent="0.3">
      <c r="AO112" s="62"/>
      <c r="AZ112" s="284">
        <v>1.11E-2</v>
      </c>
    </row>
    <row r="113" spans="41:52" x14ac:dyDescent="0.3">
      <c r="AO113" s="62"/>
      <c r="AZ113" s="284">
        <v>1.12E-2</v>
      </c>
    </row>
    <row r="114" spans="41:52" x14ac:dyDescent="0.3">
      <c r="AO114" s="62"/>
      <c r="AZ114" s="284">
        <v>1.1299999999999999E-2</v>
      </c>
    </row>
    <row r="115" spans="41:52" x14ac:dyDescent="0.3">
      <c r="AO115" s="62"/>
      <c r="AZ115" s="284">
        <v>1.14E-2</v>
      </c>
    </row>
    <row r="116" spans="41:52" x14ac:dyDescent="0.3">
      <c r="AO116" s="62"/>
      <c r="AZ116" s="284">
        <v>1.15E-2</v>
      </c>
    </row>
    <row r="117" spans="41:52" x14ac:dyDescent="0.3">
      <c r="AO117" s="62"/>
      <c r="AZ117" s="284">
        <v>1.1599999999999999E-2</v>
      </c>
    </row>
    <row r="118" spans="41:52" x14ac:dyDescent="0.3">
      <c r="AO118" s="62"/>
      <c r="AZ118" s="284">
        <v>1.17E-2</v>
      </c>
    </row>
    <row r="119" spans="41:52" x14ac:dyDescent="0.3">
      <c r="AO119" s="62"/>
      <c r="AZ119" s="284">
        <v>1.18E-2</v>
      </c>
    </row>
    <row r="120" spans="41:52" x14ac:dyDescent="0.3">
      <c r="AO120" s="62"/>
      <c r="AZ120" s="284">
        <v>1.1900000000000001E-2</v>
      </c>
    </row>
    <row r="121" spans="41:52" x14ac:dyDescent="0.3">
      <c r="AO121" s="62"/>
      <c r="AZ121" s="284">
        <v>1.2E-2</v>
      </c>
    </row>
    <row r="122" spans="41:52" x14ac:dyDescent="0.3">
      <c r="AO122" s="62"/>
      <c r="AZ122" s="284">
        <v>1.21E-2</v>
      </c>
    </row>
    <row r="123" spans="41:52" x14ac:dyDescent="0.3">
      <c r="AO123" s="62"/>
      <c r="AZ123" s="284">
        <v>1.2200000000000001E-2</v>
      </c>
    </row>
    <row r="124" spans="41:52" x14ac:dyDescent="0.3">
      <c r="AO124" s="62"/>
      <c r="AZ124" s="284">
        <v>1.23E-2</v>
      </c>
    </row>
    <row r="125" spans="41:52" x14ac:dyDescent="0.3">
      <c r="AO125" s="62"/>
      <c r="AZ125" s="284">
        <v>1.24E-2</v>
      </c>
    </row>
    <row r="126" spans="41:52" x14ac:dyDescent="0.3">
      <c r="AO126" s="62"/>
      <c r="AZ126" s="284">
        <v>1.2500000000000001E-2</v>
      </c>
    </row>
    <row r="127" spans="41:52" x14ac:dyDescent="0.3">
      <c r="AO127" s="62"/>
      <c r="AZ127" s="284">
        <v>1.26E-2</v>
      </c>
    </row>
    <row r="128" spans="41:52" x14ac:dyDescent="0.3">
      <c r="AO128" s="62"/>
      <c r="AZ128" s="284">
        <v>1.2699999999999999E-2</v>
      </c>
    </row>
    <row r="129" spans="41:52" x14ac:dyDescent="0.3">
      <c r="AO129" s="62"/>
      <c r="AZ129" s="284">
        <v>1.2800000000000001E-2</v>
      </c>
    </row>
    <row r="130" spans="41:52" x14ac:dyDescent="0.3">
      <c r="AO130" s="62"/>
      <c r="AZ130" s="284">
        <v>1.29E-2</v>
      </c>
    </row>
    <row r="131" spans="41:52" x14ac:dyDescent="0.3">
      <c r="AO131" s="62"/>
      <c r="AZ131" s="284">
        <v>1.2999999999999999E-2</v>
      </c>
    </row>
    <row r="132" spans="41:52" x14ac:dyDescent="0.3">
      <c r="AO132" s="62"/>
      <c r="AZ132" s="284">
        <v>1.3100000000000001E-2</v>
      </c>
    </row>
    <row r="133" spans="41:52" x14ac:dyDescent="0.3">
      <c r="AO133" s="62"/>
      <c r="AZ133" s="284">
        <v>1.32E-2</v>
      </c>
    </row>
    <row r="134" spans="41:52" x14ac:dyDescent="0.3">
      <c r="AO134" s="62"/>
      <c r="AZ134" s="284">
        <v>1.3299999999999999E-2</v>
      </c>
    </row>
    <row r="135" spans="41:52" x14ac:dyDescent="0.3">
      <c r="AO135" s="62"/>
      <c r="AZ135" s="284">
        <v>1.34E-2</v>
      </c>
    </row>
    <row r="136" spans="41:52" x14ac:dyDescent="0.3">
      <c r="AO136" s="62"/>
      <c r="AZ136" s="284">
        <v>1.35E-2</v>
      </c>
    </row>
    <row r="137" spans="41:52" x14ac:dyDescent="0.3">
      <c r="AO137" s="62"/>
      <c r="AZ137" s="284">
        <v>1.3599999999999999E-2</v>
      </c>
    </row>
    <row r="138" spans="41:52" x14ac:dyDescent="0.3">
      <c r="AO138" s="62"/>
      <c r="AZ138" s="284">
        <v>1.37E-2</v>
      </c>
    </row>
    <row r="139" spans="41:52" x14ac:dyDescent="0.3">
      <c r="AO139" s="62"/>
      <c r="AZ139" s="284">
        <v>1.38E-2</v>
      </c>
    </row>
    <row r="140" spans="41:52" x14ac:dyDescent="0.3">
      <c r="AO140" s="62"/>
      <c r="AZ140" s="284">
        <v>1.3899999999999999E-2</v>
      </c>
    </row>
    <row r="141" spans="41:52" x14ac:dyDescent="0.3">
      <c r="AO141" s="62"/>
      <c r="AZ141" s="284">
        <v>1.4E-2</v>
      </c>
    </row>
    <row r="142" spans="41:52" x14ac:dyDescent="0.3">
      <c r="AO142" s="62"/>
      <c r="AZ142" s="284">
        <v>1.41E-2</v>
      </c>
    </row>
    <row r="143" spans="41:52" x14ac:dyDescent="0.3">
      <c r="AO143" s="62"/>
      <c r="AZ143" s="284">
        <v>1.4200000000000001E-2</v>
      </c>
    </row>
    <row r="144" spans="41:52" x14ac:dyDescent="0.3">
      <c r="AO144" s="62"/>
      <c r="AZ144" s="284">
        <v>1.43E-2</v>
      </c>
    </row>
    <row r="145" spans="41:52" x14ac:dyDescent="0.3">
      <c r="AO145" s="62"/>
      <c r="AZ145" s="284">
        <v>1.44E-2</v>
      </c>
    </row>
    <row r="146" spans="41:52" x14ac:dyDescent="0.3">
      <c r="AO146" s="62"/>
      <c r="AZ146" s="284">
        <v>1.4500000000000001E-2</v>
      </c>
    </row>
    <row r="147" spans="41:52" x14ac:dyDescent="0.3">
      <c r="AO147" s="62"/>
      <c r="AZ147" s="284">
        <v>1.46E-2</v>
      </c>
    </row>
    <row r="148" spans="41:52" x14ac:dyDescent="0.3">
      <c r="AO148" s="62"/>
      <c r="AZ148" s="284">
        <v>1.47E-2</v>
      </c>
    </row>
    <row r="149" spans="41:52" x14ac:dyDescent="0.3">
      <c r="AO149" s="62"/>
      <c r="AZ149" s="284">
        <v>1.4800000000000001E-2</v>
      </c>
    </row>
    <row r="150" spans="41:52" x14ac:dyDescent="0.3">
      <c r="AO150" s="62"/>
      <c r="AZ150" s="284">
        <v>1.49E-2</v>
      </c>
    </row>
    <row r="151" spans="41:52" x14ac:dyDescent="0.3">
      <c r="AO151" s="62"/>
      <c r="AZ151" s="284">
        <v>1.4999999999999999E-2</v>
      </c>
    </row>
    <row r="152" spans="41:52" x14ac:dyDescent="0.3">
      <c r="AO152" s="62"/>
      <c r="AZ152" s="284">
        <v>1.5100000000000001E-2</v>
      </c>
    </row>
    <row r="153" spans="41:52" x14ac:dyDescent="0.3">
      <c r="AO153" s="62"/>
      <c r="AZ153" s="284">
        <v>1.52E-2</v>
      </c>
    </row>
    <row r="154" spans="41:52" x14ac:dyDescent="0.3">
      <c r="AO154" s="62"/>
      <c r="AZ154" s="284">
        <v>1.5299999999999999E-2</v>
      </c>
    </row>
    <row r="155" spans="41:52" x14ac:dyDescent="0.3">
      <c r="AO155" s="62"/>
      <c r="AZ155" s="284">
        <v>1.54E-2</v>
      </c>
    </row>
    <row r="156" spans="41:52" x14ac:dyDescent="0.3">
      <c r="AO156" s="62"/>
      <c r="AZ156" s="284">
        <v>1.55E-2</v>
      </c>
    </row>
    <row r="157" spans="41:52" x14ac:dyDescent="0.3">
      <c r="AO157" s="62"/>
      <c r="AZ157" s="284">
        <v>1.5599999999999999E-2</v>
      </c>
    </row>
    <row r="158" spans="41:52" x14ac:dyDescent="0.3">
      <c r="AO158" s="62"/>
      <c r="AZ158" s="284">
        <v>1.5699999999999999E-2</v>
      </c>
    </row>
    <row r="159" spans="41:52" x14ac:dyDescent="0.3">
      <c r="AO159" s="62"/>
      <c r="AZ159" s="284">
        <v>1.5800000000000002E-2</v>
      </c>
    </row>
    <row r="160" spans="41:52" x14ac:dyDescent="0.3">
      <c r="AO160" s="62"/>
      <c r="AZ160" s="284">
        <v>1.5900000000000001E-2</v>
      </c>
    </row>
    <row r="161" spans="41:52" x14ac:dyDescent="0.3">
      <c r="AO161" s="62"/>
      <c r="AZ161" s="284">
        <v>1.6E-2</v>
      </c>
    </row>
    <row r="162" spans="41:52" x14ac:dyDescent="0.3">
      <c r="AO162" s="62"/>
      <c r="AZ162" s="284">
        <v>1.61E-2</v>
      </c>
    </row>
    <row r="163" spans="41:52" x14ac:dyDescent="0.3">
      <c r="AO163" s="62"/>
      <c r="AZ163" s="284">
        <v>1.6199999999999999E-2</v>
      </c>
    </row>
    <row r="164" spans="41:52" x14ac:dyDescent="0.3">
      <c r="AO164" s="62"/>
      <c r="AZ164" s="284">
        <v>1.6299999999999999E-2</v>
      </c>
    </row>
    <row r="165" spans="41:52" x14ac:dyDescent="0.3">
      <c r="AO165" s="62"/>
      <c r="AZ165" s="284">
        <v>1.6400000000000001E-2</v>
      </c>
    </row>
    <row r="166" spans="41:52" x14ac:dyDescent="0.3">
      <c r="AO166" s="62"/>
      <c r="AZ166" s="284">
        <v>1.6500000000000001E-2</v>
      </c>
    </row>
    <row r="167" spans="41:52" x14ac:dyDescent="0.3">
      <c r="AO167" s="62"/>
      <c r="AZ167" s="284">
        <v>1.66E-2</v>
      </c>
    </row>
    <row r="168" spans="41:52" x14ac:dyDescent="0.3">
      <c r="AO168" s="62"/>
      <c r="AZ168" s="284">
        <v>1.67E-2</v>
      </c>
    </row>
    <row r="169" spans="41:52" x14ac:dyDescent="0.3">
      <c r="AO169" s="62"/>
      <c r="AZ169" s="284">
        <v>1.6799999999999999E-2</v>
      </c>
    </row>
    <row r="170" spans="41:52" x14ac:dyDescent="0.3">
      <c r="AO170" s="62"/>
      <c r="AZ170" s="284">
        <v>1.6899999999999998E-2</v>
      </c>
    </row>
    <row r="171" spans="41:52" x14ac:dyDescent="0.3">
      <c r="AO171" s="62"/>
      <c r="AZ171" s="284">
        <v>1.7000000000000001E-2</v>
      </c>
    </row>
    <row r="172" spans="41:52" x14ac:dyDescent="0.3">
      <c r="AO172" s="62"/>
      <c r="AZ172" s="284">
        <v>1.7100000000000001E-2</v>
      </c>
    </row>
    <row r="173" spans="41:52" x14ac:dyDescent="0.3">
      <c r="AO173" s="62"/>
      <c r="AZ173" s="284">
        <v>1.72E-2</v>
      </c>
    </row>
    <row r="174" spans="41:52" x14ac:dyDescent="0.3">
      <c r="AO174" s="62"/>
      <c r="AZ174" s="284">
        <v>1.7299999999999999E-2</v>
      </c>
    </row>
    <row r="175" spans="41:52" x14ac:dyDescent="0.3">
      <c r="AO175" s="62"/>
      <c r="AZ175" s="284">
        <v>1.7399999999999999E-2</v>
      </c>
    </row>
    <row r="176" spans="41:52" x14ac:dyDescent="0.3">
      <c r="AO176" s="62"/>
      <c r="AZ176" s="284">
        <v>1.7500000000000002E-2</v>
      </c>
    </row>
    <row r="177" spans="41:52" x14ac:dyDescent="0.3">
      <c r="AO177" s="62"/>
      <c r="AZ177" s="284">
        <v>1.7600000000000001E-2</v>
      </c>
    </row>
    <row r="178" spans="41:52" x14ac:dyDescent="0.3">
      <c r="AO178" s="62"/>
      <c r="AZ178" s="284">
        <v>1.77E-2</v>
      </c>
    </row>
    <row r="179" spans="41:52" x14ac:dyDescent="0.3">
      <c r="AO179" s="62"/>
      <c r="AZ179" s="284">
        <v>1.78E-2</v>
      </c>
    </row>
    <row r="180" spans="41:52" x14ac:dyDescent="0.3">
      <c r="AO180" s="62"/>
      <c r="AZ180" s="284">
        <v>1.7899999999999999E-2</v>
      </c>
    </row>
    <row r="181" spans="41:52" x14ac:dyDescent="0.3">
      <c r="AO181" s="62"/>
      <c r="AZ181" s="284">
        <v>1.7999999999999999E-2</v>
      </c>
    </row>
    <row r="182" spans="41:52" x14ac:dyDescent="0.3">
      <c r="AO182" s="62"/>
      <c r="AZ182" s="284">
        <v>1.8100000000000002E-2</v>
      </c>
    </row>
    <row r="183" spans="41:52" x14ac:dyDescent="0.3">
      <c r="AO183" s="62"/>
      <c r="AZ183" s="284">
        <v>1.8200000000000001E-2</v>
      </c>
    </row>
    <row r="184" spans="41:52" x14ac:dyDescent="0.3">
      <c r="AO184" s="62"/>
      <c r="AZ184" s="284">
        <v>1.83E-2</v>
      </c>
    </row>
    <row r="185" spans="41:52" x14ac:dyDescent="0.3">
      <c r="AO185" s="62"/>
      <c r="AZ185" s="284">
        <v>1.84E-2</v>
      </c>
    </row>
    <row r="186" spans="41:52" x14ac:dyDescent="0.3">
      <c r="AO186" s="62"/>
      <c r="AZ186" s="284">
        <v>1.8499999999999999E-2</v>
      </c>
    </row>
    <row r="187" spans="41:52" x14ac:dyDescent="0.3">
      <c r="AO187" s="62"/>
      <c r="AZ187" s="284">
        <v>1.8599999999999998E-2</v>
      </c>
    </row>
    <row r="188" spans="41:52" x14ac:dyDescent="0.3">
      <c r="AO188" s="62"/>
      <c r="AZ188" s="284">
        <v>1.8700000000000001E-2</v>
      </c>
    </row>
    <row r="189" spans="41:52" x14ac:dyDescent="0.3">
      <c r="AO189" s="62"/>
      <c r="AZ189" s="284">
        <v>1.8800000000000001E-2</v>
      </c>
    </row>
    <row r="190" spans="41:52" x14ac:dyDescent="0.3">
      <c r="AO190" s="62"/>
      <c r="AZ190" s="284">
        <v>1.89E-2</v>
      </c>
    </row>
    <row r="191" spans="41:52" x14ac:dyDescent="0.3">
      <c r="AO191" s="62"/>
      <c r="AZ191" s="284">
        <v>1.9E-2</v>
      </c>
    </row>
    <row r="192" spans="41:52" x14ac:dyDescent="0.3">
      <c r="AO192" s="62"/>
      <c r="AZ192" s="284">
        <v>1.9099999999999999E-2</v>
      </c>
    </row>
    <row r="193" spans="41:52" x14ac:dyDescent="0.3">
      <c r="AO193" s="62"/>
      <c r="AZ193" s="284">
        <v>1.9199999999999998E-2</v>
      </c>
    </row>
    <row r="194" spans="41:52" x14ac:dyDescent="0.3">
      <c r="AO194" s="62"/>
      <c r="AZ194" s="284">
        <v>1.9300000000000001E-2</v>
      </c>
    </row>
    <row r="195" spans="41:52" x14ac:dyDescent="0.3">
      <c r="AO195" s="62"/>
      <c r="AZ195" s="284">
        <v>1.9400000000000001E-2</v>
      </c>
    </row>
    <row r="196" spans="41:52" x14ac:dyDescent="0.3">
      <c r="AO196" s="62"/>
      <c r="AZ196" s="284">
        <v>1.95E-2</v>
      </c>
    </row>
    <row r="197" spans="41:52" x14ac:dyDescent="0.3">
      <c r="AO197" s="62"/>
      <c r="AZ197" s="284">
        <v>1.9599999999999999E-2</v>
      </c>
    </row>
    <row r="198" spans="41:52" x14ac:dyDescent="0.3">
      <c r="AO198" s="62"/>
      <c r="AZ198" s="284">
        <v>1.9699999999999999E-2</v>
      </c>
    </row>
    <row r="199" spans="41:52" x14ac:dyDescent="0.3">
      <c r="AO199" s="62"/>
      <c r="AZ199" s="284">
        <v>1.9800000000000002E-2</v>
      </c>
    </row>
    <row r="200" spans="41:52" x14ac:dyDescent="0.3">
      <c r="AO200" s="62"/>
      <c r="AZ200" s="284">
        <v>1.9900000000000001E-2</v>
      </c>
    </row>
    <row r="201" spans="41:52" x14ac:dyDescent="0.3">
      <c r="AO201" s="62"/>
      <c r="AZ201" s="284">
        <v>0.02</v>
      </c>
    </row>
    <row r="202" spans="41:52" x14ac:dyDescent="0.3">
      <c r="AO202" s="62"/>
      <c r="AZ202" s="284">
        <v>2.01E-2</v>
      </c>
    </row>
    <row r="203" spans="41:52" x14ac:dyDescent="0.3">
      <c r="AO203" s="62"/>
      <c r="AZ203" s="284">
        <v>2.0199999999999999E-2</v>
      </c>
    </row>
    <row r="204" spans="41:52" x14ac:dyDescent="0.3">
      <c r="AO204" s="62"/>
      <c r="AZ204" s="284">
        <v>2.0299999999999999E-2</v>
      </c>
    </row>
    <row r="205" spans="41:52" x14ac:dyDescent="0.3">
      <c r="AO205" s="62"/>
      <c r="AZ205" s="284">
        <v>2.0400000000000001E-2</v>
      </c>
    </row>
    <row r="206" spans="41:52" x14ac:dyDescent="0.3">
      <c r="AO206" s="62"/>
      <c r="AZ206" s="284">
        <v>2.0500000000000001E-2</v>
      </c>
    </row>
    <row r="207" spans="41:52" x14ac:dyDescent="0.3">
      <c r="AO207" s="62"/>
      <c r="AZ207" s="284">
        <v>2.06E-2</v>
      </c>
    </row>
    <row r="208" spans="41:52" x14ac:dyDescent="0.3">
      <c r="AO208" s="62"/>
      <c r="AZ208" s="284">
        <v>2.07E-2</v>
      </c>
    </row>
    <row r="209" spans="41:52" x14ac:dyDescent="0.3">
      <c r="AO209" s="62"/>
      <c r="AZ209" s="284">
        <v>2.0799999999999999E-2</v>
      </c>
    </row>
    <row r="210" spans="41:52" x14ac:dyDescent="0.3">
      <c r="AO210" s="62"/>
      <c r="AZ210" s="284">
        <v>2.0899999999999998E-2</v>
      </c>
    </row>
    <row r="211" spans="41:52" x14ac:dyDescent="0.3">
      <c r="AO211" s="62"/>
      <c r="AZ211" s="284">
        <v>2.1000000000000001E-2</v>
      </c>
    </row>
    <row r="212" spans="41:52" x14ac:dyDescent="0.3">
      <c r="AO212" s="62"/>
      <c r="AZ212" s="284">
        <v>2.1100000000000001E-2</v>
      </c>
    </row>
    <row r="213" spans="41:52" x14ac:dyDescent="0.3">
      <c r="AO213" s="62"/>
      <c r="AZ213" s="284">
        <v>2.12E-2</v>
      </c>
    </row>
    <row r="214" spans="41:52" x14ac:dyDescent="0.3">
      <c r="AO214" s="62"/>
      <c r="AZ214" s="284">
        <v>2.1299999999999999E-2</v>
      </c>
    </row>
    <row r="215" spans="41:52" x14ac:dyDescent="0.3">
      <c r="AO215" s="62"/>
      <c r="AZ215" s="284">
        <v>2.1399999999999999E-2</v>
      </c>
    </row>
    <row r="216" spans="41:52" x14ac:dyDescent="0.3">
      <c r="AO216" s="62"/>
      <c r="AZ216" s="284">
        <v>2.1499999999999998E-2</v>
      </c>
    </row>
    <row r="217" spans="41:52" x14ac:dyDescent="0.3">
      <c r="AO217" s="62"/>
      <c r="AZ217" s="284">
        <v>2.1600000000000001E-2</v>
      </c>
    </row>
    <row r="218" spans="41:52" x14ac:dyDescent="0.3">
      <c r="AO218" s="62"/>
      <c r="AZ218" s="284">
        <v>2.1700000000000001E-2</v>
      </c>
    </row>
    <row r="219" spans="41:52" x14ac:dyDescent="0.3">
      <c r="AO219" s="62"/>
      <c r="AZ219" s="284">
        <v>2.18E-2</v>
      </c>
    </row>
    <row r="220" spans="41:52" x14ac:dyDescent="0.3">
      <c r="AO220" s="62"/>
      <c r="AZ220" s="284">
        <v>2.1899999999999999E-2</v>
      </c>
    </row>
    <row r="221" spans="41:52" x14ac:dyDescent="0.3">
      <c r="AO221" s="62"/>
      <c r="AZ221" s="284">
        <v>2.1999999999999999E-2</v>
      </c>
    </row>
    <row r="222" spans="41:52" x14ac:dyDescent="0.3">
      <c r="AO222" s="62"/>
      <c r="AZ222" s="284">
        <v>2.2100000000000002E-2</v>
      </c>
    </row>
    <row r="223" spans="41:52" x14ac:dyDescent="0.3">
      <c r="AO223" s="62"/>
      <c r="AZ223" s="284">
        <v>2.2200000000000001E-2</v>
      </c>
    </row>
    <row r="224" spans="41:52" x14ac:dyDescent="0.3">
      <c r="AO224" s="62"/>
      <c r="AZ224" s="284">
        <v>2.23E-2</v>
      </c>
    </row>
    <row r="225" spans="41:52" x14ac:dyDescent="0.3">
      <c r="AO225" s="62"/>
      <c r="AZ225" s="284">
        <v>2.24E-2</v>
      </c>
    </row>
    <row r="226" spans="41:52" x14ac:dyDescent="0.3">
      <c r="AO226" s="62"/>
      <c r="AZ226" s="284">
        <v>2.2499999999999999E-2</v>
      </c>
    </row>
    <row r="227" spans="41:52" x14ac:dyDescent="0.3">
      <c r="AO227" s="62"/>
      <c r="AZ227" s="284">
        <v>2.2599999999999999E-2</v>
      </c>
    </row>
    <row r="228" spans="41:52" x14ac:dyDescent="0.3">
      <c r="AO228" s="62"/>
      <c r="AZ228" s="284">
        <v>2.2700000000000001E-2</v>
      </c>
    </row>
    <row r="229" spans="41:52" x14ac:dyDescent="0.3">
      <c r="AO229" s="62"/>
      <c r="AZ229" s="284">
        <v>2.2800000000000001E-2</v>
      </c>
    </row>
    <row r="230" spans="41:52" x14ac:dyDescent="0.3">
      <c r="AO230" s="62"/>
      <c r="AZ230" s="284">
        <v>2.29E-2</v>
      </c>
    </row>
    <row r="231" spans="41:52" x14ac:dyDescent="0.3">
      <c r="AO231" s="62"/>
      <c r="AZ231" s="284">
        <v>2.3E-2</v>
      </c>
    </row>
    <row r="232" spans="41:52" x14ac:dyDescent="0.3">
      <c r="AO232" s="62"/>
      <c r="AZ232" s="284">
        <v>2.3099999999999999E-2</v>
      </c>
    </row>
    <row r="233" spans="41:52" x14ac:dyDescent="0.3">
      <c r="AO233" s="62"/>
      <c r="AZ233" s="284">
        <v>2.3199999999999998E-2</v>
      </c>
    </row>
    <row r="234" spans="41:52" x14ac:dyDescent="0.3">
      <c r="AO234" s="62"/>
      <c r="AZ234" s="284">
        <v>2.3300000000000001E-2</v>
      </c>
    </row>
    <row r="235" spans="41:52" x14ac:dyDescent="0.3">
      <c r="AO235" s="62"/>
      <c r="AZ235" s="284">
        <v>2.3400000000000001E-2</v>
      </c>
    </row>
    <row r="236" spans="41:52" x14ac:dyDescent="0.3">
      <c r="AO236" s="62"/>
      <c r="AZ236" s="284">
        <v>2.35E-2</v>
      </c>
    </row>
    <row r="237" spans="41:52" x14ac:dyDescent="0.3">
      <c r="AO237" s="62"/>
      <c r="AZ237" s="284">
        <v>2.3599999999999999E-2</v>
      </c>
    </row>
    <row r="238" spans="41:52" x14ac:dyDescent="0.3">
      <c r="AO238" s="62"/>
      <c r="AZ238" s="284">
        <v>2.3699999999999999E-2</v>
      </c>
    </row>
    <row r="239" spans="41:52" x14ac:dyDescent="0.3">
      <c r="AO239" s="62"/>
      <c r="AZ239" s="284">
        <v>2.3800000000000002E-2</v>
      </c>
    </row>
    <row r="240" spans="41:52" x14ac:dyDescent="0.3">
      <c r="AO240" s="62"/>
      <c r="AZ240" s="284">
        <v>2.3900000000000001E-2</v>
      </c>
    </row>
    <row r="241" spans="41:52" x14ac:dyDescent="0.3">
      <c r="AO241" s="62"/>
      <c r="AZ241" s="284">
        <v>2.4E-2</v>
      </c>
    </row>
    <row r="242" spans="41:52" x14ac:dyDescent="0.3">
      <c r="AO242" s="62"/>
      <c r="AZ242" s="284">
        <v>2.41E-2</v>
      </c>
    </row>
    <row r="243" spans="41:52" x14ac:dyDescent="0.3">
      <c r="AO243" s="62"/>
      <c r="AZ243" s="284">
        <v>2.4199999999999999E-2</v>
      </c>
    </row>
    <row r="244" spans="41:52" x14ac:dyDescent="0.3">
      <c r="AO244" s="62"/>
      <c r="AZ244" s="284">
        <v>2.4299999999999999E-2</v>
      </c>
    </row>
    <row r="245" spans="41:52" x14ac:dyDescent="0.3">
      <c r="AO245" s="62"/>
      <c r="AZ245" s="284">
        <v>2.4400000000000002E-2</v>
      </c>
    </row>
    <row r="246" spans="41:52" x14ac:dyDescent="0.3">
      <c r="AO246" s="62"/>
      <c r="AZ246" s="284">
        <v>2.4500000000000001E-2</v>
      </c>
    </row>
    <row r="247" spans="41:52" x14ac:dyDescent="0.3">
      <c r="AO247" s="62"/>
      <c r="AZ247" s="284">
        <v>2.46E-2</v>
      </c>
    </row>
    <row r="248" spans="41:52" x14ac:dyDescent="0.3">
      <c r="AO248" s="62"/>
      <c r="AZ248" s="284">
        <v>2.47E-2</v>
      </c>
    </row>
    <row r="249" spans="41:52" x14ac:dyDescent="0.3">
      <c r="AO249" s="62"/>
      <c r="AZ249" s="284">
        <v>2.4799999999999999E-2</v>
      </c>
    </row>
    <row r="250" spans="41:52" x14ac:dyDescent="0.3">
      <c r="AO250" s="62"/>
      <c r="AZ250" s="284">
        <v>2.4899999999999999E-2</v>
      </c>
    </row>
    <row r="251" spans="41:52" x14ac:dyDescent="0.3">
      <c r="AO251" s="62"/>
      <c r="AZ251" s="284">
        <v>2.5000000000000001E-2</v>
      </c>
    </row>
    <row r="252" spans="41:52" x14ac:dyDescent="0.3">
      <c r="AO252" s="62"/>
      <c r="AZ252" s="284">
        <v>2.5100000000000001E-2</v>
      </c>
    </row>
    <row r="253" spans="41:52" x14ac:dyDescent="0.3">
      <c r="AO253" s="62"/>
      <c r="AZ253" s="284">
        <v>2.52E-2</v>
      </c>
    </row>
    <row r="254" spans="41:52" x14ac:dyDescent="0.3">
      <c r="AO254" s="62"/>
      <c r="AZ254" s="284">
        <v>2.53E-2</v>
      </c>
    </row>
    <row r="255" spans="41:52" x14ac:dyDescent="0.3">
      <c r="AO255" s="62"/>
      <c r="AZ255" s="284">
        <v>2.5399999999999999E-2</v>
      </c>
    </row>
    <row r="256" spans="41:52" x14ac:dyDescent="0.3">
      <c r="AO256" s="62"/>
      <c r="AZ256" s="284">
        <v>2.5499999999999998E-2</v>
      </c>
    </row>
    <row r="257" spans="41:52" x14ac:dyDescent="0.3">
      <c r="AO257" s="62"/>
      <c r="AZ257" s="284">
        <v>2.5600000000000001E-2</v>
      </c>
    </row>
    <row r="258" spans="41:52" x14ac:dyDescent="0.3">
      <c r="AO258" s="62"/>
      <c r="AZ258" s="284">
        <v>2.5700000000000001E-2</v>
      </c>
    </row>
    <row r="259" spans="41:52" x14ac:dyDescent="0.3">
      <c r="AO259" s="62"/>
      <c r="AZ259" s="284">
        <v>2.58E-2</v>
      </c>
    </row>
    <row r="260" spans="41:52" x14ac:dyDescent="0.3">
      <c r="AO260" s="62"/>
      <c r="AZ260" s="284">
        <v>2.5899999999999999E-2</v>
      </c>
    </row>
    <row r="261" spans="41:52" x14ac:dyDescent="0.3">
      <c r="AO261" s="62"/>
      <c r="AZ261" s="284">
        <v>2.5999999999999999E-2</v>
      </c>
    </row>
    <row r="262" spans="41:52" x14ac:dyDescent="0.3">
      <c r="AO262" s="62"/>
      <c r="AZ262" s="284">
        <v>2.6100000000000002E-2</v>
      </c>
    </row>
    <row r="263" spans="41:52" x14ac:dyDescent="0.3">
      <c r="AO263" s="62"/>
      <c r="AZ263" s="284">
        <v>2.6200000000000001E-2</v>
      </c>
    </row>
    <row r="264" spans="41:52" x14ac:dyDescent="0.3">
      <c r="AO264" s="62"/>
      <c r="AZ264" s="284">
        <v>2.63E-2</v>
      </c>
    </row>
    <row r="265" spans="41:52" x14ac:dyDescent="0.3">
      <c r="AO265" s="62"/>
      <c r="AZ265" s="284">
        <v>2.64E-2</v>
      </c>
    </row>
    <row r="266" spans="41:52" x14ac:dyDescent="0.3">
      <c r="AO266" s="62"/>
      <c r="AZ266" s="284">
        <v>2.6499999999999999E-2</v>
      </c>
    </row>
    <row r="267" spans="41:52" x14ac:dyDescent="0.3">
      <c r="AO267" s="62"/>
      <c r="AZ267" s="284">
        <v>2.6599999999999999E-2</v>
      </c>
    </row>
    <row r="268" spans="41:52" x14ac:dyDescent="0.3">
      <c r="AO268" s="62"/>
      <c r="AZ268" s="284">
        <v>2.6700000000000002E-2</v>
      </c>
    </row>
    <row r="269" spans="41:52" x14ac:dyDescent="0.3">
      <c r="AO269" s="62"/>
      <c r="AZ269" s="284">
        <v>2.6800000000000001E-2</v>
      </c>
    </row>
    <row r="270" spans="41:52" x14ac:dyDescent="0.3">
      <c r="AO270" s="62"/>
      <c r="AZ270" s="284">
        <v>2.69E-2</v>
      </c>
    </row>
    <row r="271" spans="41:52" x14ac:dyDescent="0.3">
      <c r="AO271" s="62"/>
      <c r="AZ271" s="284">
        <v>2.7E-2</v>
      </c>
    </row>
    <row r="272" spans="41:52" x14ac:dyDescent="0.3">
      <c r="AO272" s="62"/>
      <c r="AZ272" s="284">
        <v>2.7099999999999999E-2</v>
      </c>
    </row>
    <row r="273" spans="41:52" x14ac:dyDescent="0.3">
      <c r="AO273" s="62"/>
      <c r="AZ273" s="284">
        <v>2.7199999999999998E-2</v>
      </c>
    </row>
    <row r="274" spans="41:52" x14ac:dyDescent="0.3">
      <c r="AO274" s="62"/>
      <c r="AZ274" s="284">
        <v>2.7300000000000001E-2</v>
      </c>
    </row>
    <row r="275" spans="41:52" x14ac:dyDescent="0.3">
      <c r="AO275" s="62"/>
      <c r="AZ275" s="284">
        <v>2.7400000000000001E-2</v>
      </c>
    </row>
    <row r="276" spans="41:52" x14ac:dyDescent="0.3">
      <c r="AO276" s="62"/>
      <c r="AZ276" s="284">
        <v>2.75E-2</v>
      </c>
    </row>
    <row r="277" spans="41:52" x14ac:dyDescent="0.3">
      <c r="AO277" s="62"/>
      <c r="AZ277" s="284">
        <v>2.76E-2</v>
      </c>
    </row>
    <row r="278" spans="41:52" x14ac:dyDescent="0.3">
      <c r="AO278" s="62"/>
      <c r="AZ278" s="284">
        <v>2.7699999999999999E-2</v>
      </c>
    </row>
    <row r="279" spans="41:52" x14ac:dyDescent="0.3">
      <c r="AO279" s="62"/>
      <c r="AZ279" s="284">
        <v>2.7799999999999998E-2</v>
      </c>
    </row>
    <row r="280" spans="41:52" x14ac:dyDescent="0.3">
      <c r="AO280" s="62"/>
      <c r="AZ280" s="284">
        <v>2.7900000000000001E-2</v>
      </c>
    </row>
    <row r="281" spans="41:52" x14ac:dyDescent="0.3">
      <c r="AO281" s="62"/>
      <c r="AZ281" s="284">
        <v>2.8000000000000001E-2</v>
      </c>
    </row>
    <row r="282" spans="41:52" x14ac:dyDescent="0.3">
      <c r="AO282" s="62"/>
      <c r="AZ282" s="284">
        <v>2.81E-2</v>
      </c>
    </row>
    <row r="283" spans="41:52" x14ac:dyDescent="0.3">
      <c r="AO283" s="62"/>
      <c r="AZ283" s="284">
        <v>2.8199999999999999E-2</v>
      </c>
    </row>
    <row r="284" spans="41:52" x14ac:dyDescent="0.3">
      <c r="AO284" s="62"/>
      <c r="AZ284" s="284">
        <v>2.8299999999999999E-2</v>
      </c>
    </row>
    <row r="285" spans="41:52" x14ac:dyDescent="0.3">
      <c r="AO285" s="62"/>
      <c r="AZ285" s="284">
        <v>2.8400000000000002E-2</v>
      </c>
    </row>
    <row r="286" spans="41:52" x14ac:dyDescent="0.3">
      <c r="AO286" s="62"/>
      <c r="AZ286" s="284">
        <v>2.8500000000000001E-2</v>
      </c>
    </row>
    <row r="287" spans="41:52" x14ac:dyDescent="0.3">
      <c r="AO287" s="62"/>
      <c r="AZ287" s="284">
        <v>2.86E-2</v>
      </c>
    </row>
    <row r="288" spans="41:52" x14ac:dyDescent="0.3">
      <c r="AO288" s="62"/>
      <c r="AZ288" s="284">
        <v>2.87E-2</v>
      </c>
    </row>
    <row r="289" spans="41:52" x14ac:dyDescent="0.3">
      <c r="AO289" s="62"/>
      <c r="AZ289" s="284">
        <v>2.8799999999999999E-2</v>
      </c>
    </row>
    <row r="290" spans="41:52" x14ac:dyDescent="0.3">
      <c r="AO290" s="62"/>
      <c r="AZ290" s="284">
        <v>2.8899999999999999E-2</v>
      </c>
    </row>
    <row r="291" spans="41:52" x14ac:dyDescent="0.3">
      <c r="AO291" s="62"/>
      <c r="AZ291" s="284">
        <v>2.9000000000000001E-2</v>
      </c>
    </row>
    <row r="292" spans="41:52" x14ac:dyDescent="0.3">
      <c r="AO292" s="62"/>
      <c r="AZ292" s="284">
        <v>2.9100000000000001E-2</v>
      </c>
    </row>
    <row r="293" spans="41:52" x14ac:dyDescent="0.3">
      <c r="AO293" s="62"/>
      <c r="AZ293" s="284">
        <v>2.92E-2</v>
      </c>
    </row>
    <row r="294" spans="41:52" x14ac:dyDescent="0.3">
      <c r="AO294" s="62"/>
      <c r="AZ294" s="284">
        <v>2.93E-2</v>
      </c>
    </row>
    <row r="295" spans="41:52" x14ac:dyDescent="0.3">
      <c r="AO295" s="62"/>
      <c r="AZ295" s="284">
        <v>2.9399999999999999E-2</v>
      </c>
    </row>
    <row r="296" spans="41:52" x14ac:dyDescent="0.3">
      <c r="AO296" s="62"/>
      <c r="AZ296" s="284">
        <v>2.9499999999999998E-2</v>
      </c>
    </row>
    <row r="297" spans="41:52" x14ac:dyDescent="0.3">
      <c r="AO297" s="62"/>
      <c r="AZ297" s="284">
        <v>2.9600000000000001E-2</v>
      </c>
    </row>
    <row r="298" spans="41:52" x14ac:dyDescent="0.3">
      <c r="AO298" s="62"/>
      <c r="AZ298" s="284">
        <v>2.9700000000000001E-2</v>
      </c>
    </row>
    <row r="299" spans="41:52" x14ac:dyDescent="0.3">
      <c r="AO299" s="62"/>
      <c r="AZ299" s="284">
        <v>2.98E-2</v>
      </c>
    </row>
    <row r="300" spans="41:52" x14ac:dyDescent="0.3">
      <c r="AO300" s="62"/>
      <c r="AZ300" s="284">
        <v>2.9899999999999999E-2</v>
      </c>
    </row>
    <row r="301" spans="41:52" x14ac:dyDescent="0.3">
      <c r="AO301" s="62"/>
      <c r="AZ301" s="284">
        <v>0.03</v>
      </c>
    </row>
    <row r="302" spans="41:52" x14ac:dyDescent="0.3">
      <c r="AO302" s="62"/>
      <c r="AZ302" s="284">
        <v>3.0099999999999998E-2</v>
      </c>
    </row>
    <row r="303" spans="41:52" x14ac:dyDescent="0.3">
      <c r="AO303" s="62"/>
      <c r="AZ303" s="284">
        <v>3.0200000000000001E-2</v>
      </c>
    </row>
    <row r="304" spans="41:52" x14ac:dyDescent="0.3">
      <c r="AO304" s="62"/>
      <c r="AZ304" s="284">
        <v>3.0300000000000001E-2</v>
      </c>
    </row>
    <row r="305" spans="41:52" x14ac:dyDescent="0.3">
      <c r="AO305" s="62"/>
      <c r="AZ305" s="284">
        <v>3.04E-2</v>
      </c>
    </row>
    <row r="306" spans="41:52" x14ac:dyDescent="0.3">
      <c r="AO306" s="62"/>
      <c r="AZ306" s="284">
        <v>3.0499999999999999E-2</v>
      </c>
    </row>
    <row r="307" spans="41:52" x14ac:dyDescent="0.3">
      <c r="AO307" s="62"/>
      <c r="AZ307" s="284">
        <v>3.0599999999999999E-2</v>
      </c>
    </row>
    <row r="308" spans="41:52" x14ac:dyDescent="0.3">
      <c r="AO308" s="62"/>
      <c r="AZ308" s="284">
        <v>3.0700000000000002E-2</v>
      </c>
    </row>
    <row r="309" spans="41:52" x14ac:dyDescent="0.3">
      <c r="AO309" s="62"/>
      <c r="AZ309" s="284">
        <v>3.0800000000000001E-2</v>
      </c>
    </row>
    <row r="310" spans="41:52" x14ac:dyDescent="0.3">
      <c r="AO310" s="62"/>
      <c r="AZ310" s="284">
        <v>3.09E-2</v>
      </c>
    </row>
    <row r="311" spans="41:52" x14ac:dyDescent="0.3">
      <c r="AO311" s="62"/>
      <c r="AZ311" s="284">
        <v>3.1E-2</v>
      </c>
    </row>
    <row r="312" spans="41:52" x14ac:dyDescent="0.3">
      <c r="AO312" s="62"/>
      <c r="AZ312" s="284">
        <v>3.1099999999999999E-2</v>
      </c>
    </row>
    <row r="313" spans="41:52" x14ac:dyDescent="0.3">
      <c r="AO313" s="62"/>
      <c r="AZ313" s="284">
        <v>3.1199999999999999E-2</v>
      </c>
    </row>
    <row r="314" spans="41:52" x14ac:dyDescent="0.3">
      <c r="AO314" s="62"/>
      <c r="AZ314" s="284">
        <v>3.1300000000000001E-2</v>
      </c>
    </row>
    <row r="315" spans="41:52" x14ac:dyDescent="0.3">
      <c r="AO315" s="62"/>
      <c r="AZ315" s="284">
        <v>3.1399999999999997E-2</v>
      </c>
    </row>
    <row r="316" spans="41:52" x14ac:dyDescent="0.3">
      <c r="AO316" s="62"/>
      <c r="AZ316" s="284">
        <v>3.15E-2</v>
      </c>
    </row>
    <row r="317" spans="41:52" x14ac:dyDescent="0.3">
      <c r="AO317" s="62"/>
      <c r="AZ317" s="284">
        <v>3.1600000000000003E-2</v>
      </c>
    </row>
    <row r="318" spans="41:52" x14ac:dyDescent="0.3">
      <c r="AO318" s="62"/>
      <c r="AZ318" s="284">
        <v>3.1699999999999999E-2</v>
      </c>
    </row>
    <row r="319" spans="41:52" x14ac:dyDescent="0.3">
      <c r="AO319" s="62"/>
      <c r="AZ319" s="284">
        <v>3.1800000000000002E-2</v>
      </c>
    </row>
    <row r="320" spans="41:52" x14ac:dyDescent="0.3">
      <c r="AO320" s="62"/>
      <c r="AZ320" s="284">
        <v>3.1899999999999998E-2</v>
      </c>
    </row>
    <row r="321" spans="41:52" x14ac:dyDescent="0.3">
      <c r="AO321" s="62"/>
      <c r="AZ321" s="284">
        <v>3.2000000000000001E-2</v>
      </c>
    </row>
    <row r="322" spans="41:52" x14ac:dyDescent="0.3">
      <c r="AO322" s="62"/>
      <c r="AZ322" s="284">
        <v>3.2099999999999997E-2</v>
      </c>
    </row>
    <row r="323" spans="41:52" x14ac:dyDescent="0.3">
      <c r="AO323" s="62"/>
      <c r="AZ323" s="284">
        <v>3.2199999999999999E-2</v>
      </c>
    </row>
    <row r="324" spans="41:52" x14ac:dyDescent="0.3">
      <c r="AO324" s="62"/>
      <c r="AZ324" s="284">
        <v>3.2300000000000002E-2</v>
      </c>
    </row>
    <row r="325" spans="41:52" x14ac:dyDescent="0.3">
      <c r="AO325" s="62"/>
      <c r="AZ325" s="284">
        <v>3.2399999999999998E-2</v>
      </c>
    </row>
    <row r="326" spans="41:52" x14ac:dyDescent="0.3">
      <c r="AO326" s="62"/>
      <c r="AZ326" s="284">
        <v>3.2500000000000001E-2</v>
      </c>
    </row>
    <row r="327" spans="41:52" x14ac:dyDescent="0.3">
      <c r="AO327" s="62"/>
      <c r="AZ327" s="284">
        <v>3.2599999999999997E-2</v>
      </c>
    </row>
    <row r="328" spans="41:52" x14ac:dyDescent="0.3">
      <c r="AO328" s="62"/>
      <c r="AZ328" s="284">
        <v>3.27E-2</v>
      </c>
    </row>
    <row r="329" spans="41:52" x14ac:dyDescent="0.3">
      <c r="AO329" s="62"/>
      <c r="AZ329" s="284">
        <v>3.2800000000000003E-2</v>
      </c>
    </row>
    <row r="330" spans="41:52" x14ac:dyDescent="0.3">
      <c r="AO330" s="62"/>
      <c r="AZ330" s="284">
        <v>3.2899999999999999E-2</v>
      </c>
    </row>
    <row r="331" spans="41:52" x14ac:dyDescent="0.3">
      <c r="AO331" s="62"/>
      <c r="AZ331" s="284">
        <v>3.3000000000000002E-2</v>
      </c>
    </row>
    <row r="332" spans="41:52" x14ac:dyDescent="0.3">
      <c r="AO332" s="62"/>
      <c r="AZ332" s="284">
        <v>3.3099999999999997E-2</v>
      </c>
    </row>
    <row r="333" spans="41:52" x14ac:dyDescent="0.3">
      <c r="AO333" s="62"/>
      <c r="AZ333" s="284">
        <v>3.32E-2</v>
      </c>
    </row>
    <row r="334" spans="41:52" x14ac:dyDescent="0.3">
      <c r="AO334" s="62"/>
      <c r="AZ334" s="284">
        <v>3.3300000000000003E-2</v>
      </c>
    </row>
    <row r="335" spans="41:52" x14ac:dyDescent="0.3">
      <c r="AO335" s="62"/>
      <c r="AZ335" s="284">
        <v>3.3399999999999999E-2</v>
      </c>
    </row>
    <row r="336" spans="41:52" x14ac:dyDescent="0.3">
      <c r="AO336" s="62"/>
      <c r="AZ336" s="284">
        <v>3.3500000000000002E-2</v>
      </c>
    </row>
    <row r="337" spans="41:52" x14ac:dyDescent="0.3">
      <c r="AO337" s="62"/>
      <c r="AZ337" s="284">
        <v>3.3599999999999998E-2</v>
      </c>
    </row>
    <row r="338" spans="41:52" x14ac:dyDescent="0.3">
      <c r="AO338" s="62"/>
      <c r="AZ338" s="284">
        <v>3.3700000000000001E-2</v>
      </c>
    </row>
    <row r="339" spans="41:52" x14ac:dyDescent="0.3">
      <c r="AO339" s="62"/>
      <c r="AZ339" s="284">
        <v>3.3799999999999997E-2</v>
      </c>
    </row>
    <row r="340" spans="41:52" x14ac:dyDescent="0.3">
      <c r="AO340" s="62"/>
      <c r="AZ340" s="284">
        <v>3.39E-2</v>
      </c>
    </row>
    <row r="341" spans="41:52" x14ac:dyDescent="0.3">
      <c r="AO341" s="62"/>
      <c r="AZ341" s="284">
        <v>3.4000000000000002E-2</v>
      </c>
    </row>
    <row r="342" spans="41:52" x14ac:dyDescent="0.3">
      <c r="AO342" s="62"/>
      <c r="AZ342" s="284">
        <v>3.4099999999999998E-2</v>
      </c>
    </row>
    <row r="343" spans="41:52" x14ac:dyDescent="0.3">
      <c r="AO343" s="62"/>
      <c r="AZ343" s="284">
        <v>3.4200000000000001E-2</v>
      </c>
    </row>
    <row r="344" spans="41:52" x14ac:dyDescent="0.3">
      <c r="AO344" s="62"/>
      <c r="AZ344" s="284">
        <v>3.4299999999999997E-2</v>
      </c>
    </row>
    <row r="345" spans="41:52" x14ac:dyDescent="0.3">
      <c r="AO345" s="62"/>
      <c r="AZ345" s="284">
        <v>3.44E-2</v>
      </c>
    </row>
    <row r="346" spans="41:52" x14ac:dyDescent="0.3">
      <c r="AO346" s="62"/>
      <c r="AZ346" s="284">
        <v>3.4500000000000003E-2</v>
      </c>
    </row>
    <row r="347" spans="41:52" x14ac:dyDescent="0.3">
      <c r="AO347" s="62"/>
      <c r="AZ347" s="284">
        <v>3.4599999999999999E-2</v>
      </c>
    </row>
    <row r="348" spans="41:52" x14ac:dyDescent="0.3">
      <c r="AO348" s="62"/>
      <c r="AZ348" s="284">
        <v>3.4700000000000002E-2</v>
      </c>
    </row>
    <row r="349" spans="41:52" x14ac:dyDescent="0.3">
      <c r="AO349" s="62"/>
      <c r="AZ349" s="284">
        <v>3.4799999999999998E-2</v>
      </c>
    </row>
    <row r="350" spans="41:52" x14ac:dyDescent="0.3">
      <c r="AO350" s="62"/>
      <c r="AZ350" s="284">
        <v>3.49E-2</v>
      </c>
    </row>
    <row r="351" spans="41:52" x14ac:dyDescent="0.3">
      <c r="AO351" s="62"/>
      <c r="AZ351" s="284">
        <v>3.5000000000000003E-2</v>
      </c>
    </row>
    <row r="352" spans="41:52" x14ac:dyDescent="0.3">
      <c r="AO352" s="62"/>
      <c r="AZ352" s="284">
        <v>3.5099999999999999E-2</v>
      </c>
    </row>
    <row r="353" spans="41:52" x14ac:dyDescent="0.3">
      <c r="AO353" s="62"/>
      <c r="AZ353" s="284">
        <v>3.5200000000000002E-2</v>
      </c>
    </row>
    <row r="354" spans="41:52" x14ac:dyDescent="0.3">
      <c r="AO354" s="62"/>
      <c r="AZ354" s="284">
        <v>3.5299999999999998E-2</v>
      </c>
    </row>
    <row r="355" spans="41:52" x14ac:dyDescent="0.3">
      <c r="AO355" s="62"/>
      <c r="AZ355" s="284">
        <v>3.5400000000000001E-2</v>
      </c>
    </row>
    <row r="356" spans="41:52" x14ac:dyDescent="0.3">
      <c r="AO356" s="62"/>
      <c r="AZ356" s="284">
        <v>3.5499999999999997E-2</v>
      </c>
    </row>
    <row r="357" spans="41:52" x14ac:dyDescent="0.3">
      <c r="AO357" s="62"/>
      <c r="AZ357" s="284">
        <v>3.56E-2</v>
      </c>
    </row>
    <row r="358" spans="41:52" x14ac:dyDescent="0.3">
      <c r="AO358" s="62"/>
      <c r="AZ358" s="284">
        <v>3.5700000000000003E-2</v>
      </c>
    </row>
    <row r="359" spans="41:52" x14ac:dyDescent="0.3">
      <c r="AO359" s="62"/>
      <c r="AZ359" s="284">
        <v>3.5799999999999998E-2</v>
      </c>
    </row>
    <row r="360" spans="41:52" x14ac:dyDescent="0.3">
      <c r="AO360" s="62"/>
      <c r="AZ360" s="284">
        <v>3.5900000000000001E-2</v>
      </c>
    </row>
    <row r="361" spans="41:52" x14ac:dyDescent="0.3">
      <c r="AO361" s="62"/>
      <c r="AZ361" s="284">
        <v>3.5999999999999997E-2</v>
      </c>
    </row>
    <row r="362" spans="41:52" x14ac:dyDescent="0.3">
      <c r="AO362" s="62"/>
      <c r="AZ362" s="284">
        <v>3.61E-2</v>
      </c>
    </row>
    <row r="363" spans="41:52" x14ac:dyDescent="0.3">
      <c r="AO363" s="62"/>
      <c r="AZ363" s="284">
        <v>3.6200000000000003E-2</v>
      </c>
    </row>
    <row r="364" spans="41:52" x14ac:dyDescent="0.3">
      <c r="AO364" s="62"/>
      <c r="AZ364" s="284">
        <v>3.6299999999999999E-2</v>
      </c>
    </row>
    <row r="365" spans="41:52" x14ac:dyDescent="0.3">
      <c r="AO365" s="62"/>
      <c r="AZ365" s="284">
        <v>3.6400000000000002E-2</v>
      </c>
    </row>
    <row r="366" spans="41:52" x14ac:dyDescent="0.3">
      <c r="AO366" s="62"/>
      <c r="AZ366" s="284">
        <v>3.6499999999999998E-2</v>
      </c>
    </row>
    <row r="367" spans="41:52" x14ac:dyDescent="0.3">
      <c r="AO367" s="62"/>
      <c r="AZ367" s="284">
        <v>3.6600000000000001E-2</v>
      </c>
    </row>
    <row r="368" spans="41:52" x14ac:dyDescent="0.3">
      <c r="AO368" s="62"/>
      <c r="AZ368" s="284">
        <v>3.6700000000000003E-2</v>
      </c>
    </row>
    <row r="369" spans="41:52" x14ac:dyDescent="0.3">
      <c r="AO369" s="62"/>
      <c r="AZ369" s="284">
        <v>3.6799999999999999E-2</v>
      </c>
    </row>
    <row r="370" spans="41:52" x14ac:dyDescent="0.3">
      <c r="AO370" s="62"/>
      <c r="AZ370" s="284">
        <v>3.6900000000000002E-2</v>
      </c>
    </row>
    <row r="371" spans="41:52" x14ac:dyDescent="0.3">
      <c r="AO371" s="62"/>
      <c r="AZ371" s="284">
        <v>3.6999999999999998E-2</v>
      </c>
    </row>
    <row r="372" spans="41:52" x14ac:dyDescent="0.3">
      <c r="AO372" s="62"/>
      <c r="AZ372" s="284">
        <v>3.7100000000000001E-2</v>
      </c>
    </row>
    <row r="373" spans="41:52" x14ac:dyDescent="0.3">
      <c r="AO373" s="62"/>
      <c r="AZ373" s="284">
        <v>3.7199999999999997E-2</v>
      </c>
    </row>
    <row r="374" spans="41:52" x14ac:dyDescent="0.3">
      <c r="AO374" s="62"/>
      <c r="AZ374" s="284">
        <v>3.73E-2</v>
      </c>
    </row>
    <row r="375" spans="41:52" x14ac:dyDescent="0.3">
      <c r="AO375" s="62"/>
      <c r="AZ375" s="284">
        <v>3.7400000000000003E-2</v>
      </c>
    </row>
    <row r="376" spans="41:52" x14ac:dyDescent="0.3">
      <c r="AO376" s="62"/>
      <c r="AZ376" s="284">
        <v>3.7499999999999999E-2</v>
      </c>
    </row>
    <row r="377" spans="41:52" x14ac:dyDescent="0.3">
      <c r="AO377" s="62"/>
      <c r="AZ377" s="284">
        <v>3.7600000000000001E-2</v>
      </c>
    </row>
    <row r="378" spans="41:52" x14ac:dyDescent="0.3">
      <c r="AO378" s="62"/>
      <c r="AZ378" s="284">
        <v>3.7699999999999997E-2</v>
      </c>
    </row>
    <row r="379" spans="41:52" x14ac:dyDescent="0.3">
      <c r="AO379" s="62"/>
      <c r="AZ379" s="284">
        <v>3.78E-2</v>
      </c>
    </row>
    <row r="380" spans="41:52" x14ac:dyDescent="0.3">
      <c r="AO380" s="62"/>
      <c r="AZ380" s="284">
        <v>3.7900000000000003E-2</v>
      </c>
    </row>
    <row r="381" spans="41:52" x14ac:dyDescent="0.3">
      <c r="AO381" s="62"/>
      <c r="AZ381" s="284">
        <v>3.7999999999999999E-2</v>
      </c>
    </row>
    <row r="382" spans="41:52" x14ac:dyDescent="0.3">
      <c r="AO382" s="62"/>
      <c r="AZ382" s="284">
        <v>3.8100000000000002E-2</v>
      </c>
    </row>
    <row r="383" spans="41:52" x14ac:dyDescent="0.3">
      <c r="AO383" s="62"/>
      <c r="AZ383" s="284">
        <v>3.8199999999999998E-2</v>
      </c>
    </row>
    <row r="384" spans="41:52" x14ac:dyDescent="0.3">
      <c r="AO384" s="62"/>
      <c r="AZ384" s="284">
        <v>3.8300000000000001E-2</v>
      </c>
    </row>
    <row r="385" spans="41:52" x14ac:dyDescent="0.3">
      <c r="AO385" s="62"/>
      <c r="AZ385" s="284">
        <v>3.8399999999999997E-2</v>
      </c>
    </row>
    <row r="386" spans="41:52" x14ac:dyDescent="0.3">
      <c r="AO386" s="62"/>
      <c r="AZ386" s="284">
        <v>3.85E-2</v>
      </c>
    </row>
    <row r="387" spans="41:52" x14ac:dyDescent="0.3">
      <c r="AO387" s="62"/>
      <c r="AZ387" s="284">
        <v>3.8600000000000002E-2</v>
      </c>
    </row>
    <row r="388" spans="41:52" x14ac:dyDescent="0.3">
      <c r="AO388" s="62"/>
      <c r="AZ388" s="284">
        <v>3.8699999999999998E-2</v>
      </c>
    </row>
    <row r="389" spans="41:52" x14ac:dyDescent="0.3">
      <c r="AO389" s="62"/>
      <c r="AZ389" s="284">
        <v>3.8800000000000001E-2</v>
      </c>
    </row>
    <row r="390" spans="41:52" x14ac:dyDescent="0.3">
      <c r="AO390" s="62"/>
      <c r="AZ390" s="284">
        <v>3.8899999999999997E-2</v>
      </c>
    </row>
    <row r="391" spans="41:52" x14ac:dyDescent="0.3">
      <c r="AO391" s="62"/>
      <c r="AZ391" s="284">
        <v>3.9E-2</v>
      </c>
    </row>
    <row r="392" spans="41:52" x14ac:dyDescent="0.3">
      <c r="AO392" s="62"/>
      <c r="AZ392" s="284">
        <v>3.9100000000000003E-2</v>
      </c>
    </row>
    <row r="393" spans="41:52" x14ac:dyDescent="0.3">
      <c r="AO393" s="62"/>
      <c r="AZ393" s="284">
        <v>3.9199999999999999E-2</v>
      </c>
    </row>
    <row r="394" spans="41:52" x14ac:dyDescent="0.3">
      <c r="AO394" s="62"/>
      <c r="AZ394" s="284">
        <v>3.9300000000000002E-2</v>
      </c>
    </row>
    <row r="395" spans="41:52" x14ac:dyDescent="0.3">
      <c r="AO395" s="62"/>
      <c r="AZ395" s="284">
        <v>3.9399999999999998E-2</v>
      </c>
    </row>
    <row r="396" spans="41:52" x14ac:dyDescent="0.3">
      <c r="AO396" s="62"/>
      <c r="AZ396" s="284">
        <v>3.95E-2</v>
      </c>
    </row>
    <row r="397" spans="41:52" x14ac:dyDescent="0.3">
      <c r="AO397" s="62"/>
      <c r="AZ397" s="284">
        <v>3.9600000000000003E-2</v>
      </c>
    </row>
    <row r="398" spans="41:52" x14ac:dyDescent="0.3">
      <c r="AO398" s="62"/>
      <c r="AZ398" s="284">
        <v>3.9699999999999999E-2</v>
      </c>
    </row>
    <row r="399" spans="41:52" x14ac:dyDescent="0.3">
      <c r="AO399" s="62"/>
      <c r="AZ399" s="284">
        <v>3.9800000000000002E-2</v>
      </c>
    </row>
    <row r="400" spans="41:52" x14ac:dyDescent="0.3">
      <c r="AO400" s="62"/>
      <c r="AZ400" s="284">
        <v>3.9899999999999998E-2</v>
      </c>
    </row>
    <row r="401" spans="41:52" x14ac:dyDescent="0.3">
      <c r="AO401" s="62"/>
      <c r="AZ401" s="284">
        <v>0.04</v>
      </c>
    </row>
    <row r="402" spans="41:52" x14ac:dyDescent="0.3">
      <c r="AO402" s="62"/>
      <c r="AZ402" s="284">
        <v>4.0099999999999997E-2</v>
      </c>
    </row>
    <row r="403" spans="41:52" x14ac:dyDescent="0.3">
      <c r="AO403" s="62"/>
      <c r="AZ403" s="284">
        <v>4.02E-2</v>
      </c>
    </row>
    <row r="404" spans="41:52" x14ac:dyDescent="0.3">
      <c r="AO404" s="62"/>
      <c r="AZ404" s="284">
        <v>4.0300000000000002E-2</v>
      </c>
    </row>
    <row r="405" spans="41:52" x14ac:dyDescent="0.3">
      <c r="AO405" s="62"/>
      <c r="AZ405" s="284">
        <v>4.0399999999999998E-2</v>
      </c>
    </row>
    <row r="406" spans="41:52" x14ac:dyDescent="0.3">
      <c r="AO406" s="62"/>
      <c r="AZ406" s="284">
        <v>4.0500000000000001E-2</v>
      </c>
    </row>
    <row r="407" spans="41:52" x14ac:dyDescent="0.3">
      <c r="AO407" s="62"/>
      <c r="AZ407" s="284">
        <v>4.0599999999999997E-2</v>
      </c>
    </row>
    <row r="408" spans="41:52" x14ac:dyDescent="0.3">
      <c r="AO408" s="62"/>
      <c r="AZ408" s="284">
        <v>4.07E-2</v>
      </c>
    </row>
    <row r="409" spans="41:52" x14ac:dyDescent="0.3">
      <c r="AO409" s="62"/>
      <c r="AZ409" s="284">
        <v>4.0800000000000003E-2</v>
      </c>
    </row>
    <row r="410" spans="41:52" x14ac:dyDescent="0.3">
      <c r="AO410" s="62"/>
      <c r="AZ410" s="284">
        <v>4.0899999999999999E-2</v>
      </c>
    </row>
    <row r="411" spans="41:52" x14ac:dyDescent="0.3">
      <c r="AO411" s="62"/>
      <c r="AZ411" s="284">
        <v>4.1000000000000002E-2</v>
      </c>
    </row>
    <row r="412" spans="41:52" x14ac:dyDescent="0.3">
      <c r="AO412" s="62"/>
      <c r="AZ412" s="284">
        <v>4.1099999999999998E-2</v>
      </c>
    </row>
    <row r="413" spans="41:52" x14ac:dyDescent="0.3">
      <c r="AO413" s="62"/>
      <c r="AZ413" s="284">
        <v>4.1200000000000001E-2</v>
      </c>
    </row>
    <row r="414" spans="41:52" x14ac:dyDescent="0.3">
      <c r="AO414" s="62"/>
      <c r="AZ414" s="284">
        <v>4.1300000000000003E-2</v>
      </c>
    </row>
    <row r="415" spans="41:52" x14ac:dyDescent="0.3">
      <c r="AO415" s="62"/>
      <c r="AZ415" s="284">
        <v>4.1399999999999999E-2</v>
      </c>
    </row>
    <row r="416" spans="41:52" x14ac:dyDescent="0.3">
      <c r="AO416" s="62"/>
      <c r="AZ416" s="284">
        <v>4.1500000000000002E-2</v>
      </c>
    </row>
    <row r="417" spans="41:52" x14ac:dyDescent="0.3">
      <c r="AO417" s="62"/>
      <c r="AZ417" s="284">
        <v>4.1599999999999998E-2</v>
      </c>
    </row>
    <row r="418" spans="41:52" x14ac:dyDescent="0.3">
      <c r="AO418" s="62"/>
      <c r="AZ418" s="284">
        <v>4.1700000000000001E-2</v>
      </c>
    </row>
    <row r="419" spans="41:52" x14ac:dyDescent="0.3">
      <c r="AO419" s="62"/>
      <c r="AZ419" s="284">
        <v>4.1799999999999997E-2</v>
      </c>
    </row>
    <row r="420" spans="41:52" x14ac:dyDescent="0.3">
      <c r="AO420" s="62"/>
      <c r="AZ420" s="284">
        <v>4.19E-2</v>
      </c>
    </row>
    <row r="421" spans="41:52" x14ac:dyDescent="0.3">
      <c r="AO421" s="62"/>
      <c r="AZ421" s="284">
        <v>4.2000000000000003E-2</v>
      </c>
    </row>
    <row r="422" spans="41:52" x14ac:dyDescent="0.3">
      <c r="AO422" s="62"/>
      <c r="AZ422" s="284">
        <v>4.2099999999999999E-2</v>
      </c>
    </row>
    <row r="423" spans="41:52" x14ac:dyDescent="0.3">
      <c r="AO423" s="62"/>
      <c r="AZ423" s="284">
        <v>4.2200000000000001E-2</v>
      </c>
    </row>
    <row r="424" spans="41:52" x14ac:dyDescent="0.3">
      <c r="AO424" s="62"/>
      <c r="AZ424" s="284">
        <v>4.2299999999999997E-2</v>
      </c>
    </row>
    <row r="425" spans="41:52" x14ac:dyDescent="0.3">
      <c r="AO425" s="62"/>
      <c r="AZ425" s="284">
        <v>4.24E-2</v>
      </c>
    </row>
    <row r="426" spans="41:52" x14ac:dyDescent="0.3">
      <c r="AO426" s="62"/>
      <c r="AZ426" s="284">
        <v>4.2500000000000003E-2</v>
      </c>
    </row>
    <row r="427" spans="41:52" x14ac:dyDescent="0.3">
      <c r="AO427" s="62"/>
      <c r="AZ427" s="284">
        <v>4.2599999999999999E-2</v>
      </c>
    </row>
    <row r="428" spans="41:52" x14ac:dyDescent="0.3">
      <c r="AO428" s="62"/>
      <c r="AZ428" s="284">
        <v>4.2700000000000002E-2</v>
      </c>
    </row>
    <row r="429" spans="41:52" x14ac:dyDescent="0.3">
      <c r="AO429" s="62"/>
      <c r="AZ429" s="284">
        <v>4.2799999999999998E-2</v>
      </c>
    </row>
    <row r="430" spans="41:52" x14ac:dyDescent="0.3">
      <c r="AO430" s="62"/>
      <c r="AZ430" s="284">
        <v>4.2900000000000001E-2</v>
      </c>
    </row>
    <row r="431" spans="41:52" x14ac:dyDescent="0.3">
      <c r="AO431" s="62"/>
      <c r="AZ431" s="284">
        <v>4.2999999999999997E-2</v>
      </c>
    </row>
    <row r="432" spans="41:52" x14ac:dyDescent="0.3">
      <c r="AO432" s="62"/>
      <c r="AZ432" s="284">
        <v>4.3099999999999999E-2</v>
      </c>
    </row>
    <row r="433" spans="41:52" x14ac:dyDescent="0.3">
      <c r="AO433" s="62"/>
      <c r="AZ433" s="284">
        <v>4.3200000000000002E-2</v>
      </c>
    </row>
    <row r="434" spans="41:52" x14ac:dyDescent="0.3">
      <c r="AO434" s="62"/>
      <c r="AZ434" s="284">
        <v>4.3299999999999998E-2</v>
      </c>
    </row>
    <row r="435" spans="41:52" x14ac:dyDescent="0.3">
      <c r="AO435" s="62"/>
      <c r="AZ435" s="284">
        <v>4.3400000000000001E-2</v>
      </c>
    </row>
    <row r="436" spans="41:52" x14ac:dyDescent="0.3">
      <c r="AO436" s="62"/>
      <c r="AZ436" s="284">
        <v>4.3499999999999997E-2</v>
      </c>
    </row>
    <row r="437" spans="41:52" x14ac:dyDescent="0.3">
      <c r="AO437" s="62"/>
      <c r="AZ437" s="284">
        <v>4.36E-2</v>
      </c>
    </row>
    <row r="438" spans="41:52" x14ac:dyDescent="0.3">
      <c r="AO438" s="62"/>
      <c r="AZ438" s="284">
        <v>4.3700000000000003E-2</v>
      </c>
    </row>
    <row r="439" spans="41:52" x14ac:dyDescent="0.3">
      <c r="AO439" s="62"/>
      <c r="AZ439" s="284">
        <v>4.3799999999999999E-2</v>
      </c>
    </row>
    <row r="440" spans="41:52" x14ac:dyDescent="0.3">
      <c r="AO440" s="62"/>
      <c r="AZ440" s="284">
        <v>4.3900000000000002E-2</v>
      </c>
    </row>
    <row r="441" spans="41:52" x14ac:dyDescent="0.3">
      <c r="AO441" s="62"/>
      <c r="AZ441" s="284">
        <v>4.3999999999999997E-2</v>
      </c>
    </row>
    <row r="442" spans="41:52" x14ac:dyDescent="0.3">
      <c r="AO442" s="62"/>
      <c r="AZ442" s="284">
        <v>4.41E-2</v>
      </c>
    </row>
    <row r="443" spans="41:52" x14ac:dyDescent="0.3">
      <c r="AO443" s="62"/>
      <c r="AZ443" s="284">
        <v>4.4200000000000003E-2</v>
      </c>
    </row>
    <row r="444" spans="41:52" x14ac:dyDescent="0.3">
      <c r="AO444" s="62"/>
      <c r="AZ444" s="284">
        <v>4.4299999999999999E-2</v>
      </c>
    </row>
    <row r="445" spans="41:52" x14ac:dyDescent="0.3">
      <c r="AO445" s="62"/>
      <c r="AZ445" s="284">
        <v>4.4400000000000002E-2</v>
      </c>
    </row>
    <row r="446" spans="41:52" x14ac:dyDescent="0.3">
      <c r="AO446" s="62"/>
      <c r="AZ446" s="284">
        <v>4.4499999999999998E-2</v>
      </c>
    </row>
    <row r="447" spans="41:52" x14ac:dyDescent="0.3">
      <c r="AO447" s="62"/>
      <c r="AZ447" s="284">
        <v>4.4600000000000001E-2</v>
      </c>
    </row>
    <row r="448" spans="41:52" x14ac:dyDescent="0.3">
      <c r="AO448" s="62"/>
      <c r="AZ448" s="284">
        <v>4.4699999999999997E-2</v>
      </c>
    </row>
    <row r="449" spans="41:52" x14ac:dyDescent="0.3">
      <c r="AO449" s="62"/>
      <c r="AZ449" s="284">
        <v>4.48E-2</v>
      </c>
    </row>
    <row r="450" spans="41:52" x14ac:dyDescent="0.3">
      <c r="AO450" s="62"/>
      <c r="AZ450" s="284">
        <v>4.4900000000000002E-2</v>
      </c>
    </row>
    <row r="451" spans="41:52" x14ac:dyDescent="0.3">
      <c r="AO451" s="62"/>
      <c r="AZ451" s="284">
        <v>4.4999999999999998E-2</v>
      </c>
    </row>
    <row r="452" spans="41:52" x14ac:dyDescent="0.3">
      <c r="AO452" s="62"/>
      <c r="AZ452" s="284">
        <v>4.5100000000000001E-2</v>
      </c>
    </row>
    <row r="453" spans="41:52" x14ac:dyDescent="0.3">
      <c r="AO453" s="62"/>
      <c r="AZ453" s="284">
        <v>4.5199999999999997E-2</v>
      </c>
    </row>
    <row r="454" spans="41:52" x14ac:dyDescent="0.3">
      <c r="AO454" s="62"/>
      <c r="AZ454" s="284">
        <v>4.53E-2</v>
      </c>
    </row>
    <row r="455" spans="41:52" x14ac:dyDescent="0.3">
      <c r="AO455" s="62"/>
      <c r="AZ455" s="284">
        <v>4.5400000000000003E-2</v>
      </c>
    </row>
    <row r="456" spans="41:52" x14ac:dyDescent="0.3">
      <c r="AO456" s="62"/>
      <c r="AZ456" s="284">
        <v>4.5499999999999999E-2</v>
      </c>
    </row>
    <row r="457" spans="41:52" x14ac:dyDescent="0.3">
      <c r="AO457" s="62"/>
      <c r="AZ457" s="284">
        <v>4.5600000000000002E-2</v>
      </c>
    </row>
    <row r="458" spans="41:52" x14ac:dyDescent="0.3">
      <c r="AO458" s="62"/>
      <c r="AZ458" s="284">
        <v>4.5699999999999998E-2</v>
      </c>
    </row>
    <row r="459" spans="41:52" x14ac:dyDescent="0.3">
      <c r="AO459" s="62"/>
      <c r="AZ459" s="284">
        <v>4.58E-2</v>
      </c>
    </row>
    <row r="460" spans="41:52" x14ac:dyDescent="0.3">
      <c r="AO460" s="62"/>
      <c r="AZ460" s="284">
        <v>4.5900000000000003E-2</v>
      </c>
    </row>
    <row r="461" spans="41:52" x14ac:dyDescent="0.3">
      <c r="AO461" s="62"/>
      <c r="AZ461" s="284">
        <v>4.5999999999999999E-2</v>
      </c>
    </row>
    <row r="462" spans="41:52" x14ac:dyDescent="0.3">
      <c r="AO462" s="62"/>
      <c r="AZ462" s="284">
        <v>4.6100000000000002E-2</v>
      </c>
    </row>
    <row r="463" spans="41:52" x14ac:dyDescent="0.3">
      <c r="AO463" s="62"/>
      <c r="AZ463" s="284">
        <v>4.6199999999999998E-2</v>
      </c>
    </row>
    <row r="464" spans="41:52" x14ac:dyDescent="0.3">
      <c r="AO464" s="62"/>
      <c r="AZ464" s="284">
        <v>4.6300000000000001E-2</v>
      </c>
    </row>
    <row r="465" spans="41:52" x14ac:dyDescent="0.3">
      <c r="AO465" s="62"/>
      <c r="AZ465" s="284">
        <v>4.6399999999999997E-2</v>
      </c>
    </row>
    <row r="466" spans="41:52" x14ac:dyDescent="0.3">
      <c r="AO466" s="62"/>
      <c r="AZ466" s="284">
        <v>4.65E-2</v>
      </c>
    </row>
    <row r="467" spans="41:52" x14ac:dyDescent="0.3">
      <c r="AO467" s="62"/>
      <c r="AZ467" s="284">
        <v>4.6600000000000003E-2</v>
      </c>
    </row>
    <row r="468" spans="41:52" x14ac:dyDescent="0.3">
      <c r="AO468" s="62"/>
      <c r="AZ468" s="284">
        <v>4.6699999999999998E-2</v>
      </c>
    </row>
    <row r="469" spans="41:52" x14ac:dyDescent="0.3">
      <c r="AO469" s="62"/>
      <c r="AZ469" s="284">
        <v>4.6800000000000001E-2</v>
      </c>
    </row>
    <row r="470" spans="41:52" x14ac:dyDescent="0.3">
      <c r="AO470" s="62"/>
      <c r="AZ470" s="284">
        <v>4.6899999999999997E-2</v>
      </c>
    </row>
    <row r="471" spans="41:52" x14ac:dyDescent="0.3">
      <c r="AO471" s="62"/>
      <c r="AZ471" s="284">
        <v>4.7E-2</v>
      </c>
    </row>
    <row r="472" spans="41:52" x14ac:dyDescent="0.3">
      <c r="AO472" s="62"/>
      <c r="AZ472" s="284">
        <v>4.7100000000000003E-2</v>
      </c>
    </row>
    <row r="473" spans="41:52" x14ac:dyDescent="0.3">
      <c r="AO473" s="62"/>
      <c r="AZ473" s="284">
        <v>4.7199999999999999E-2</v>
      </c>
    </row>
    <row r="474" spans="41:52" x14ac:dyDescent="0.3">
      <c r="AO474" s="62"/>
      <c r="AZ474" s="284">
        <v>4.7300000000000002E-2</v>
      </c>
    </row>
    <row r="475" spans="41:52" x14ac:dyDescent="0.3">
      <c r="AO475" s="62"/>
      <c r="AZ475" s="284">
        <v>4.7399999999999998E-2</v>
      </c>
    </row>
    <row r="476" spans="41:52" x14ac:dyDescent="0.3">
      <c r="AO476" s="62"/>
      <c r="AZ476" s="284">
        <v>4.7500000000000001E-2</v>
      </c>
    </row>
    <row r="477" spans="41:52" x14ac:dyDescent="0.3">
      <c r="AO477" s="62"/>
      <c r="AZ477" s="284">
        <v>4.7600000000000003E-2</v>
      </c>
    </row>
    <row r="478" spans="41:52" x14ac:dyDescent="0.3">
      <c r="AO478" s="62"/>
      <c r="AZ478" s="284">
        <v>4.7699999999999999E-2</v>
      </c>
    </row>
    <row r="479" spans="41:52" x14ac:dyDescent="0.3">
      <c r="AO479" s="62"/>
      <c r="AZ479" s="284">
        <v>4.7800000000000002E-2</v>
      </c>
    </row>
    <row r="480" spans="41:52" x14ac:dyDescent="0.3">
      <c r="AO480" s="62"/>
      <c r="AZ480" s="284">
        <v>4.7899999999999998E-2</v>
      </c>
    </row>
    <row r="481" spans="41:52" x14ac:dyDescent="0.3">
      <c r="AO481" s="62"/>
      <c r="AZ481" s="284">
        <v>4.8000000000000001E-2</v>
      </c>
    </row>
    <row r="482" spans="41:52" x14ac:dyDescent="0.3">
      <c r="AO482" s="62"/>
      <c r="AZ482" s="284">
        <v>4.8099999999999997E-2</v>
      </c>
    </row>
    <row r="483" spans="41:52" x14ac:dyDescent="0.3">
      <c r="AO483" s="62"/>
      <c r="AZ483" s="284">
        <v>4.82E-2</v>
      </c>
    </row>
    <row r="484" spans="41:52" x14ac:dyDescent="0.3">
      <c r="AO484" s="62"/>
      <c r="AZ484" s="284">
        <v>4.8300000000000003E-2</v>
      </c>
    </row>
    <row r="485" spans="41:52" x14ac:dyDescent="0.3">
      <c r="AO485" s="62"/>
      <c r="AZ485" s="284">
        <v>4.8399999999999999E-2</v>
      </c>
    </row>
    <row r="486" spans="41:52" x14ac:dyDescent="0.3">
      <c r="AO486" s="62"/>
      <c r="AZ486" s="284">
        <v>4.8500000000000001E-2</v>
      </c>
    </row>
    <row r="487" spans="41:52" x14ac:dyDescent="0.3">
      <c r="AO487" s="62"/>
      <c r="AZ487" s="284">
        <v>4.8599999999999997E-2</v>
      </c>
    </row>
    <row r="488" spans="41:52" x14ac:dyDescent="0.3">
      <c r="AO488" s="62"/>
      <c r="AZ488" s="284">
        <v>4.87E-2</v>
      </c>
    </row>
    <row r="489" spans="41:52" x14ac:dyDescent="0.3">
      <c r="AO489" s="62"/>
      <c r="AZ489" s="284">
        <v>4.8800000000000003E-2</v>
      </c>
    </row>
    <row r="490" spans="41:52" x14ac:dyDescent="0.3">
      <c r="AO490" s="62"/>
      <c r="AZ490" s="284">
        <v>4.8899999999999999E-2</v>
      </c>
    </row>
    <row r="491" spans="41:52" x14ac:dyDescent="0.3">
      <c r="AO491" s="62"/>
      <c r="AZ491" s="284">
        <v>4.9000000000000002E-2</v>
      </c>
    </row>
    <row r="492" spans="41:52" x14ac:dyDescent="0.3">
      <c r="AO492" s="62"/>
      <c r="AZ492" s="284">
        <v>4.9099999999999998E-2</v>
      </c>
    </row>
    <row r="493" spans="41:52" x14ac:dyDescent="0.3">
      <c r="AO493" s="62"/>
      <c r="AZ493" s="284">
        <v>4.9200000000000001E-2</v>
      </c>
    </row>
    <row r="494" spans="41:52" x14ac:dyDescent="0.3">
      <c r="AO494" s="62"/>
      <c r="AZ494" s="284">
        <v>4.9299999999999997E-2</v>
      </c>
    </row>
    <row r="495" spans="41:52" x14ac:dyDescent="0.3">
      <c r="AO495" s="62"/>
      <c r="AZ495" s="284">
        <v>4.9399999999999999E-2</v>
      </c>
    </row>
    <row r="496" spans="41:52" x14ac:dyDescent="0.3">
      <c r="AO496" s="62"/>
      <c r="AZ496" s="284">
        <v>4.9500000000000002E-2</v>
      </c>
    </row>
    <row r="497" spans="41:52" x14ac:dyDescent="0.3">
      <c r="AO497" s="62"/>
      <c r="AZ497" s="284">
        <v>4.9599999999999998E-2</v>
      </c>
    </row>
    <row r="498" spans="41:52" x14ac:dyDescent="0.3">
      <c r="AO498" s="62"/>
      <c r="AZ498" s="284">
        <v>4.9700000000000001E-2</v>
      </c>
    </row>
    <row r="499" spans="41:52" x14ac:dyDescent="0.3">
      <c r="AO499" s="62"/>
      <c r="AZ499" s="284">
        <v>4.9799999999999997E-2</v>
      </c>
    </row>
    <row r="500" spans="41:52" x14ac:dyDescent="0.3">
      <c r="AO500" s="62"/>
      <c r="AZ500" s="284">
        <v>4.99E-2</v>
      </c>
    </row>
    <row r="501" spans="41:52" x14ac:dyDescent="0.3">
      <c r="AO501" s="62"/>
      <c r="AZ501" s="284">
        <v>0.05</v>
      </c>
    </row>
    <row r="502" spans="41:52" x14ac:dyDescent="0.3">
      <c r="AO502" s="62"/>
      <c r="AZ502" s="284">
        <v>5.0099999999999999E-2</v>
      </c>
    </row>
    <row r="503" spans="41:52" x14ac:dyDescent="0.3">
      <c r="AO503" s="62"/>
      <c r="AZ503" s="284">
        <v>5.0200000000000002E-2</v>
      </c>
    </row>
    <row r="504" spans="41:52" x14ac:dyDescent="0.3">
      <c r="AO504" s="62"/>
      <c r="AZ504" s="284">
        <v>5.0299999999999997E-2</v>
      </c>
    </row>
    <row r="505" spans="41:52" x14ac:dyDescent="0.3">
      <c r="AO505" s="62"/>
      <c r="AZ505" s="284">
        <v>5.04E-2</v>
      </c>
    </row>
    <row r="506" spans="41:52" x14ac:dyDescent="0.3">
      <c r="AO506" s="62"/>
      <c r="AZ506" s="284">
        <v>5.0500000000000003E-2</v>
      </c>
    </row>
    <row r="507" spans="41:52" x14ac:dyDescent="0.3">
      <c r="AO507" s="62"/>
      <c r="AZ507" s="284">
        <v>5.0599999999999999E-2</v>
      </c>
    </row>
    <row r="508" spans="41:52" x14ac:dyDescent="0.3">
      <c r="AO508" s="62"/>
      <c r="AZ508" s="284">
        <v>5.0700000000000002E-2</v>
      </c>
    </row>
    <row r="509" spans="41:52" x14ac:dyDescent="0.3">
      <c r="AO509" s="62"/>
      <c r="AZ509" s="284">
        <v>5.0799999999999998E-2</v>
      </c>
    </row>
    <row r="510" spans="41:52" x14ac:dyDescent="0.3">
      <c r="AO510" s="62"/>
      <c r="AZ510" s="284">
        <v>5.0900000000000001E-2</v>
      </c>
    </row>
    <row r="511" spans="41:52" x14ac:dyDescent="0.3">
      <c r="AO511" s="62"/>
      <c r="AZ511" s="284">
        <v>5.0999999999999997E-2</v>
      </c>
    </row>
    <row r="512" spans="41:52" x14ac:dyDescent="0.3">
      <c r="AO512" s="62"/>
      <c r="AZ512" s="284">
        <v>5.11E-2</v>
      </c>
    </row>
    <row r="513" spans="41:52" x14ac:dyDescent="0.3">
      <c r="AO513" s="62"/>
      <c r="AZ513" s="284">
        <v>5.1200000000000002E-2</v>
      </c>
    </row>
    <row r="514" spans="41:52" x14ac:dyDescent="0.3">
      <c r="AO514" s="62"/>
      <c r="AZ514" s="284">
        <v>5.1299999999999998E-2</v>
      </c>
    </row>
    <row r="515" spans="41:52" x14ac:dyDescent="0.3">
      <c r="AO515" s="62"/>
      <c r="AZ515" s="284">
        <v>5.1400000000000001E-2</v>
      </c>
    </row>
    <row r="516" spans="41:52" x14ac:dyDescent="0.3">
      <c r="AO516" s="62"/>
      <c r="AZ516" s="284">
        <v>5.1499999999999997E-2</v>
      </c>
    </row>
    <row r="517" spans="41:52" x14ac:dyDescent="0.3">
      <c r="AO517" s="62"/>
      <c r="AZ517" s="284">
        <v>5.16E-2</v>
      </c>
    </row>
    <row r="518" spans="41:52" x14ac:dyDescent="0.3">
      <c r="AO518" s="62"/>
      <c r="AZ518" s="284">
        <v>5.1700000000000003E-2</v>
      </c>
    </row>
    <row r="519" spans="41:52" x14ac:dyDescent="0.3">
      <c r="AO519" s="62"/>
      <c r="AZ519" s="284">
        <v>5.1799999999999999E-2</v>
      </c>
    </row>
    <row r="520" spans="41:52" x14ac:dyDescent="0.3">
      <c r="AO520" s="62"/>
      <c r="AZ520" s="284">
        <v>5.1900000000000002E-2</v>
      </c>
    </row>
    <row r="521" spans="41:52" x14ac:dyDescent="0.3">
      <c r="AO521" s="62"/>
      <c r="AZ521" s="284">
        <v>5.1999999999999998E-2</v>
      </c>
    </row>
    <row r="522" spans="41:52" x14ac:dyDescent="0.3">
      <c r="AO522" s="62"/>
      <c r="AZ522" s="284">
        <v>5.21E-2</v>
      </c>
    </row>
    <row r="523" spans="41:52" x14ac:dyDescent="0.3">
      <c r="AO523" s="62"/>
      <c r="AZ523" s="284">
        <v>5.2200000000000003E-2</v>
      </c>
    </row>
    <row r="524" spans="41:52" x14ac:dyDescent="0.3">
      <c r="AO524" s="62"/>
      <c r="AZ524" s="284">
        <v>5.2299999999999999E-2</v>
      </c>
    </row>
    <row r="525" spans="41:52" x14ac:dyDescent="0.3">
      <c r="AO525" s="62"/>
      <c r="AZ525" s="284">
        <v>5.2400000000000002E-2</v>
      </c>
    </row>
    <row r="526" spans="41:52" x14ac:dyDescent="0.3">
      <c r="AO526" s="62"/>
      <c r="AZ526" s="284">
        <v>5.2499999999999998E-2</v>
      </c>
    </row>
    <row r="527" spans="41:52" x14ac:dyDescent="0.3">
      <c r="AO527" s="62"/>
      <c r="AZ527" s="284">
        <v>5.2600000000000001E-2</v>
      </c>
    </row>
    <row r="528" spans="41:52" x14ac:dyDescent="0.3">
      <c r="AO528" s="62"/>
      <c r="AZ528" s="284">
        <v>5.2699999999999997E-2</v>
      </c>
    </row>
    <row r="529" spans="41:52" x14ac:dyDescent="0.3">
      <c r="AO529" s="62"/>
      <c r="AZ529" s="284">
        <v>5.28E-2</v>
      </c>
    </row>
    <row r="530" spans="41:52" x14ac:dyDescent="0.3">
      <c r="AO530" s="62"/>
      <c r="AZ530" s="284">
        <v>5.2900000000000003E-2</v>
      </c>
    </row>
    <row r="531" spans="41:52" x14ac:dyDescent="0.3">
      <c r="AO531" s="62"/>
      <c r="AZ531" s="284">
        <v>5.2999999999999999E-2</v>
      </c>
    </row>
    <row r="532" spans="41:52" x14ac:dyDescent="0.3">
      <c r="AO532" s="62"/>
      <c r="AZ532" s="284">
        <v>5.3100000000000001E-2</v>
      </c>
    </row>
    <row r="533" spans="41:52" x14ac:dyDescent="0.3">
      <c r="AO533" s="62"/>
      <c r="AZ533" s="284">
        <v>5.3199999999999997E-2</v>
      </c>
    </row>
    <row r="534" spans="41:52" x14ac:dyDescent="0.3">
      <c r="AO534" s="62"/>
      <c r="AZ534" s="284">
        <v>5.33E-2</v>
      </c>
    </row>
    <row r="535" spans="41:52" x14ac:dyDescent="0.3">
      <c r="AO535" s="62"/>
      <c r="AZ535" s="284">
        <v>5.3400000000000003E-2</v>
      </c>
    </row>
    <row r="536" spans="41:52" x14ac:dyDescent="0.3">
      <c r="AO536" s="62"/>
      <c r="AZ536" s="284">
        <v>5.3499999999999999E-2</v>
      </c>
    </row>
    <row r="537" spans="41:52" x14ac:dyDescent="0.3">
      <c r="AO537" s="62"/>
      <c r="AZ537" s="284">
        <v>5.3600000000000002E-2</v>
      </c>
    </row>
    <row r="538" spans="41:52" x14ac:dyDescent="0.3">
      <c r="AO538" s="62"/>
      <c r="AZ538" s="284">
        <v>5.3699999999999998E-2</v>
      </c>
    </row>
    <row r="539" spans="41:52" x14ac:dyDescent="0.3">
      <c r="AO539" s="62"/>
      <c r="AZ539" s="284">
        <v>5.3800000000000001E-2</v>
      </c>
    </row>
    <row r="540" spans="41:52" x14ac:dyDescent="0.3">
      <c r="AO540" s="62"/>
      <c r="AZ540" s="284">
        <v>5.3900000000000003E-2</v>
      </c>
    </row>
    <row r="541" spans="41:52" x14ac:dyDescent="0.3">
      <c r="AO541" s="62"/>
      <c r="AZ541" s="284">
        <v>5.3999999999999999E-2</v>
      </c>
    </row>
    <row r="542" spans="41:52" x14ac:dyDescent="0.3">
      <c r="AO542" s="62"/>
      <c r="AZ542" s="284">
        <v>5.4100000000000002E-2</v>
      </c>
    </row>
    <row r="543" spans="41:52" x14ac:dyDescent="0.3">
      <c r="AO543" s="62"/>
      <c r="AZ543" s="284">
        <v>5.4199999999999998E-2</v>
      </c>
    </row>
    <row r="544" spans="41:52" x14ac:dyDescent="0.3">
      <c r="AO544" s="62"/>
      <c r="AZ544" s="284">
        <v>5.4300000000000001E-2</v>
      </c>
    </row>
    <row r="545" spans="41:52" x14ac:dyDescent="0.3">
      <c r="AO545" s="62"/>
      <c r="AZ545" s="284">
        <v>5.4399999999999997E-2</v>
      </c>
    </row>
    <row r="546" spans="41:52" x14ac:dyDescent="0.3">
      <c r="AO546" s="62"/>
      <c r="AZ546" s="284">
        <v>5.45E-2</v>
      </c>
    </row>
    <row r="547" spans="41:52" x14ac:dyDescent="0.3">
      <c r="AO547" s="62"/>
      <c r="AZ547" s="284">
        <v>5.4600000000000003E-2</v>
      </c>
    </row>
    <row r="548" spans="41:52" x14ac:dyDescent="0.3">
      <c r="AO548" s="62"/>
      <c r="AZ548" s="284">
        <v>5.4699999999999999E-2</v>
      </c>
    </row>
    <row r="549" spans="41:52" x14ac:dyDescent="0.3">
      <c r="AO549" s="62"/>
      <c r="AZ549" s="284">
        <v>5.4800000000000001E-2</v>
      </c>
    </row>
    <row r="550" spans="41:52" x14ac:dyDescent="0.3">
      <c r="AO550" s="62"/>
      <c r="AZ550" s="284">
        <v>5.4899999999999997E-2</v>
      </c>
    </row>
    <row r="551" spans="41:52" x14ac:dyDescent="0.3">
      <c r="AO551" s="62"/>
      <c r="AZ551" s="284">
        <v>5.5E-2</v>
      </c>
    </row>
    <row r="552" spans="41:52" x14ac:dyDescent="0.3">
      <c r="AO552" s="62"/>
      <c r="AZ552" s="284">
        <v>5.5100000000000003E-2</v>
      </c>
    </row>
    <row r="553" spans="41:52" x14ac:dyDescent="0.3">
      <c r="AO553" s="62"/>
      <c r="AZ553" s="284">
        <v>5.5199999999999999E-2</v>
      </c>
    </row>
    <row r="554" spans="41:52" x14ac:dyDescent="0.3">
      <c r="AO554" s="62"/>
      <c r="AZ554" s="284">
        <v>5.5300000000000002E-2</v>
      </c>
    </row>
    <row r="555" spans="41:52" x14ac:dyDescent="0.3">
      <c r="AO555" s="62"/>
      <c r="AZ555" s="284">
        <v>5.5399999999999998E-2</v>
      </c>
    </row>
    <row r="556" spans="41:52" x14ac:dyDescent="0.3">
      <c r="AO556" s="62"/>
      <c r="AZ556" s="284">
        <v>5.5500000000000001E-2</v>
      </c>
    </row>
    <row r="557" spans="41:52" x14ac:dyDescent="0.3">
      <c r="AO557" s="62"/>
      <c r="AZ557" s="284">
        <v>5.5599999999999997E-2</v>
      </c>
    </row>
    <row r="558" spans="41:52" x14ac:dyDescent="0.3">
      <c r="AO558" s="62"/>
      <c r="AZ558" s="284">
        <v>5.57E-2</v>
      </c>
    </row>
    <row r="559" spans="41:52" x14ac:dyDescent="0.3">
      <c r="AO559" s="62"/>
      <c r="AZ559" s="284">
        <v>5.5800000000000002E-2</v>
      </c>
    </row>
    <row r="560" spans="41:52" x14ac:dyDescent="0.3">
      <c r="AO560" s="62"/>
      <c r="AZ560" s="284">
        <v>5.5899999999999998E-2</v>
      </c>
    </row>
    <row r="561" spans="41:52" x14ac:dyDescent="0.3">
      <c r="AO561" s="62"/>
      <c r="AZ561" s="284">
        <v>5.6000000000000001E-2</v>
      </c>
    </row>
    <row r="562" spans="41:52" x14ac:dyDescent="0.3">
      <c r="AO562" s="62"/>
      <c r="AZ562" s="284">
        <v>5.6099999999999997E-2</v>
      </c>
    </row>
    <row r="563" spans="41:52" x14ac:dyDescent="0.3">
      <c r="AO563" s="62"/>
      <c r="AZ563" s="284">
        <v>5.62E-2</v>
      </c>
    </row>
    <row r="564" spans="41:52" x14ac:dyDescent="0.3">
      <c r="AO564" s="62"/>
      <c r="AZ564" s="284">
        <v>5.6300000000000003E-2</v>
      </c>
    </row>
    <row r="565" spans="41:52" x14ac:dyDescent="0.3">
      <c r="AO565" s="62"/>
      <c r="AZ565" s="284">
        <v>5.6399999999999999E-2</v>
      </c>
    </row>
    <row r="566" spans="41:52" x14ac:dyDescent="0.3">
      <c r="AO566" s="62"/>
      <c r="AZ566" s="284">
        <v>5.6500000000000002E-2</v>
      </c>
    </row>
    <row r="567" spans="41:52" x14ac:dyDescent="0.3">
      <c r="AO567" s="62"/>
      <c r="AZ567" s="284">
        <v>5.6599999999999998E-2</v>
      </c>
    </row>
    <row r="568" spans="41:52" x14ac:dyDescent="0.3">
      <c r="AO568" s="62"/>
      <c r="AZ568" s="284">
        <v>5.67E-2</v>
      </c>
    </row>
    <row r="569" spans="41:52" x14ac:dyDescent="0.3">
      <c r="AO569" s="62"/>
      <c r="AZ569" s="284">
        <v>5.6800000000000003E-2</v>
      </c>
    </row>
    <row r="570" spans="41:52" x14ac:dyDescent="0.3">
      <c r="AO570" s="62"/>
      <c r="AZ570" s="284">
        <v>5.6899999999999999E-2</v>
      </c>
    </row>
    <row r="571" spans="41:52" x14ac:dyDescent="0.3">
      <c r="AO571" s="62"/>
      <c r="AZ571" s="284">
        <v>5.7000000000000002E-2</v>
      </c>
    </row>
    <row r="572" spans="41:52" x14ac:dyDescent="0.3">
      <c r="AO572" s="62"/>
      <c r="AZ572" s="284">
        <v>5.7099999999999998E-2</v>
      </c>
    </row>
    <row r="573" spans="41:52" x14ac:dyDescent="0.3">
      <c r="AO573" s="62"/>
      <c r="AZ573" s="284">
        <v>5.7200000000000001E-2</v>
      </c>
    </row>
    <row r="574" spans="41:52" x14ac:dyDescent="0.3">
      <c r="AO574" s="62"/>
      <c r="AZ574" s="284">
        <v>5.7299999999999997E-2</v>
      </c>
    </row>
    <row r="575" spans="41:52" x14ac:dyDescent="0.3">
      <c r="AO575" s="62"/>
      <c r="AZ575" s="284">
        <v>5.74E-2</v>
      </c>
    </row>
    <row r="576" spans="41:52" x14ac:dyDescent="0.3">
      <c r="AO576" s="62"/>
      <c r="AZ576" s="284">
        <v>5.7500000000000002E-2</v>
      </c>
    </row>
    <row r="577" spans="41:52" x14ac:dyDescent="0.3">
      <c r="AO577" s="62"/>
      <c r="AZ577" s="284">
        <v>5.7599999999999998E-2</v>
      </c>
    </row>
    <row r="578" spans="41:52" x14ac:dyDescent="0.3">
      <c r="AO578" s="62"/>
      <c r="AZ578" s="284">
        <v>5.7700000000000001E-2</v>
      </c>
    </row>
    <row r="579" spans="41:52" x14ac:dyDescent="0.3">
      <c r="AO579" s="62"/>
      <c r="AZ579" s="284">
        <v>5.7799999999999997E-2</v>
      </c>
    </row>
    <row r="580" spans="41:52" x14ac:dyDescent="0.3">
      <c r="AO580" s="62"/>
      <c r="AZ580" s="284">
        <v>5.79E-2</v>
      </c>
    </row>
    <row r="581" spans="41:52" x14ac:dyDescent="0.3">
      <c r="AO581" s="62"/>
      <c r="AZ581" s="284">
        <v>5.8000000000000003E-2</v>
      </c>
    </row>
    <row r="582" spans="41:52" x14ac:dyDescent="0.3">
      <c r="AO582" s="62"/>
      <c r="AZ582" s="284">
        <v>5.8099999999999999E-2</v>
      </c>
    </row>
    <row r="583" spans="41:52" x14ac:dyDescent="0.3">
      <c r="AO583" s="62"/>
      <c r="AZ583" s="284">
        <v>5.8200000000000002E-2</v>
      </c>
    </row>
    <row r="584" spans="41:52" x14ac:dyDescent="0.3">
      <c r="AO584" s="62"/>
      <c r="AZ584" s="284">
        <v>5.8299999999999998E-2</v>
      </c>
    </row>
    <row r="585" spans="41:52" x14ac:dyDescent="0.3">
      <c r="AO585" s="62"/>
      <c r="AZ585" s="284">
        <v>5.8400000000000001E-2</v>
      </c>
    </row>
    <row r="586" spans="41:52" x14ac:dyDescent="0.3">
      <c r="AO586" s="62"/>
      <c r="AZ586" s="284">
        <v>5.8500000000000003E-2</v>
      </c>
    </row>
    <row r="587" spans="41:52" x14ac:dyDescent="0.3">
      <c r="AO587" s="62"/>
      <c r="AZ587" s="284">
        <v>5.8599999999999999E-2</v>
      </c>
    </row>
    <row r="588" spans="41:52" x14ac:dyDescent="0.3">
      <c r="AO588" s="62"/>
      <c r="AZ588" s="284">
        <v>5.8700000000000002E-2</v>
      </c>
    </row>
    <row r="589" spans="41:52" x14ac:dyDescent="0.3">
      <c r="AO589" s="62"/>
      <c r="AZ589" s="284">
        <v>5.8799999999999998E-2</v>
      </c>
    </row>
    <row r="590" spans="41:52" x14ac:dyDescent="0.3">
      <c r="AO590" s="62"/>
      <c r="AZ590" s="284">
        <v>5.8900000000000001E-2</v>
      </c>
    </row>
    <row r="591" spans="41:52" x14ac:dyDescent="0.3">
      <c r="AO591" s="62"/>
      <c r="AZ591" s="284">
        <v>5.8999999999999997E-2</v>
      </c>
    </row>
    <row r="592" spans="41:52" x14ac:dyDescent="0.3">
      <c r="AO592" s="62"/>
      <c r="AZ592" s="284">
        <v>5.91E-2</v>
      </c>
    </row>
    <row r="593" spans="41:52" x14ac:dyDescent="0.3">
      <c r="AO593" s="62"/>
      <c r="AZ593" s="284">
        <v>5.9200000000000003E-2</v>
      </c>
    </row>
    <row r="594" spans="41:52" x14ac:dyDescent="0.3">
      <c r="AO594" s="62"/>
      <c r="AZ594" s="284">
        <v>5.9299999999999999E-2</v>
      </c>
    </row>
    <row r="595" spans="41:52" x14ac:dyDescent="0.3">
      <c r="AO595" s="62"/>
      <c r="AZ595" s="284">
        <v>5.9400000000000001E-2</v>
      </c>
    </row>
    <row r="596" spans="41:52" x14ac:dyDescent="0.3">
      <c r="AO596" s="62"/>
      <c r="AZ596" s="284">
        <v>5.9499999999999997E-2</v>
      </c>
    </row>
    <row r="597" spans="41:52" x14ac:dyDescent="0.3">
      <c r="AO597" s="62"/>
      <c r="AZ597" s="284">
        <v>5.96E-2</v>
      </c>
    </row>
    <row r="598" spans="41:52" x14ac:dyDescent="0.3">
      <c r="AO598" s="62"/>
      <c r="AZ598" s="284">
        <v>5.9700000000000003E-2</v>
      </c>
    </row>
    <row r="599" spans="41:52" x14ac:dyDescent="0.3">
      <c r="AO599" s="62"/>
      <c r="AZ599" s="284">
        <v>5.9799999999999999E-2</v>
      </c>
    </row>
    <row r="600" spans="41:52" x14ac:dyDescent="0.3">
      <c r="AO600" s="62"/>
      <c r="AZ600" s="284">
        <v>5.9900000000000002E-2</v>
      </c>
    </row>
    <row r="601" spans="41:52" x14ac:dyDescent="0.3">
      <c r="AO601" s="62"/>
      <c r="AZ601" s="284">
        <v>0.06</v>
      </c>
    </row>
    <row r="602" spans="41:52" x14ac:dyDescent="0.3">
      <c r="AO602" s="62"/>
      <c r="AZ602" s="284">
        <v>6.0100000000000001E-2</v>
      </c>
    </row>
    <row r="603" spans="41:52" x14ac:dyDescent="0.3">
      <c r="AO603" s="62"/>
      <c r="AZ603" s="284">
        <v>6.0199999999999997E-2</v>
      </c>
    </row>
    <row r="604" spans="41:52" x14ac:dyDescent="0.3">
      <c r="AO604" s="62"/>
      <c r="AZ604" s="284">
        <v>6.0299999999999999E-2</v>
      </c>
    </row>
    <row r="605" spans="41:52" x14ac:dyDescent="0.3">
      <c r="AO605" s="62"/>
      <c r="AZ605" s="284">
        <v>6.0400000000000002E-2</v>
      </c>
    </row>
    <row r="606" spans="41:52" x14ac:dyDescent="0.3">
      <c r="AO606" s="62"/>
      <c r="AZ606" s="284">
        <v>6.0499999999999998E-2</v>
      </c>
    </row>
    <row r="607" spans="41:52" x14ac:dyDescent="0.3">
      <c r="AO607" s="62"/>
      <c r="AZ607" s="284">
        <v>6.0600000000000001E-2</v>
      </c>
    </row>
    <row r="608" spans="41:52" x14ac:dyDescent="0.3">
      <c r="AO608" s="62"/>
      <c r="AZ608" s="284">
        <v>6.0699999999999997E-2</v>
      </c>
    </row>
    <row r="609" spans="41:52" x14ac:dyDescent="0.3">
      <c r="AO609" s="62"/>
      <c r="AZ609" s="284">
        <v>6.08E-2</v>
      </c>
    </row>
    <row r="610" spans="41:52" x14ac:dyDescent="0.3">
      <c r="AO610" s="62"/>
      <c r="AZ610" s="284">
        <v>6.0900000000000003E-2</v>
      </c>
    </row>
    <row r="611" spans="41:52" x14ac:dyDescent="0.3">
      <c r="AO611" s="62"/>
      <c r="AZ611" s="284">
        <v>6.0999999999999999E-2</v>
      </c>
    </row>
    <row r="612" spans="41:52" x14ac:dyDescent="0.3">
      <c r="AO612" s="62"/>
      <c r="AZ612" s="284">
        <v>6.1100000000000002E-2</v>
      </c>
    </row>
    <row r="613" spans="41:52" x14ac:dyDescent="0.3">
      <c r="AO613" s="62"/>
      <c r="AZ613" s="284">
        <v>6.1199999999999997E-2</v>
      </c>
    </row>
    <row r="614" spans="41:52" x14ac:dyDescent="0.3">
      <c r="AO614" s="62"/>
      <c r="AZ614" s="284">
        <v>6.13E-2</v>
      </c>
    </row>
    <row r="615" spans="41:52" x14ac:dyDescent="0.3">
      <c r="AO615" s="62"/>
      <c r="AZ615" s="284">
        <v>6.1400000000000003E-2</v>
      </c>
    </row>
    <row r="616" spans="41:52" x14ac:dyDescent="0.3">
      <c r="AO616" s="62"/>
      <c r="AZ616" s="284">
        <v>6.1499999999999999E-2</v>
      </c>
    </row>
    <row r="617" spans="41:52" x14ac:dyDescent="0.3">
      <c r="AO617" s="62"/>
      <c r="AZ617" s="284">
        <v>6.1600000000000002E-2</v>
      </c>
    </row>
    <row r="618" spans="41:52" x14ac:dyDescent="0.3">
      <c r="AO618" s="62"/>
      <c r="AZ618" s="284">
        <v>6.1699999999999998E-2</v>
      </c>
    </row>
    <row r="619" spans="41:52" x14ac:dyDescent="0.3">
      <c r="AO619" s="62"/>
      <c r="AZ619" s="284">
        <v>6.1800000000000001E-2</v>
      </c>
    </row>
    <row r="620" spans="41:52" x14ac:dyDescent="0.3">
      <c r="AO620" s="62"/>
      <c r="AZ620" s="284">
        <v>6.1899999999999997E-2</v>
      </c>
    </row>
    <row r="621" spans="41:52" x14ac:dyDescent="0.3">
      <c r="AO621" s="62"/>
      <c r="AZ621" s="284">
        <v>6.2E-2</v>
      </c>
    </row>
    <row r="622" spans="41:52" x14ac:dyDescent="0.3">
      <c r="AO622" s="62"/>
      <c r="AZ622" s="284">
        <v>6.2100000000000002E-2</v>
      </c>
    </row>
    <row r="623" spans="41:52" x14ac:dyDescent="0.3">
      <c r="AO623" s="62"/>
      <c r="AZ623" s="284">
        <v>6.2199999999999998E-2</v>
      </c>
    </row>
    <row r="624" spans="41:52" x14ac:dyDescent="0.3">
      <c r="AO624" s="62"/>
      <c r="AZ624" s="284">
        <v>6.2300000000000001E-2</v>
      </c>
    </row>
    <row r="625" spans="41:52" x14ac:dyDescent="0.3">
      <c r="AO625" s="62"/>
      <c r="AZ625" s="284">
        <v>6.2399999999999997E-2</v>
      </c>
    </row>
    <row r="626" spans="41:52" x14ac:dyDescent="0.3">
      <c r="AO626" s="62"/>
      <c r="AZ626" s="284">
        <v>6.25E-2</v>
      </c>
    </row>
    <row r="627" spans="41:52" x14ac:dyDescent="0.3">
      <c r="AO627" s="62"/>
      <c r="AZ627" s="284">
        <v>6.2600000000000003E-2</v>
      </c>
    </row>
    <row r="628" spans="41:52" x14ac:dyDescent="0.3">
      <c r="AO628" s="62"/>
      <c r="AZ628" s="284">
        <v>6.2700000000000006E-2</v>
      </c>
    </row>
    <row r="629" spans="41:52" x14ac:dyDescent="0.3">
      <c r="AO629" s="62"/>
      <c r="AZ629" s="284">
        <v>6.2799999999999995E-2</v>
      </c>
    </row>
    <row r="630" spans="41:52" x14ac:dyDescent="0.3">
      <c r="AO630" s="62"/>
      <c r="AZ630" s="284">
        <v>6.2899999999999998E-2</v>
      </c>
    </row>
    <row r="631" spans="41:52" x14ac:dyDescent="0.3">
      <c r="AO631" s="62"/>
      <c r="AZ631" s="284">
        <v>6.3E-2</v>
      </c>
    </row>
    <row r="632" spans="41:52" x14ac:dyDescent="0.3">
      <c r="AO632" s="62"/>
      <c r="AZ632" s="284">
        <v>6.3100000000000003E-2</v>
      </c>
    </row>
    <row r="633" spans="41:52" x14ac:dyDescent="0.3">
      <c r="AO633" s="62"/>
      <c r="AZ633" s="284">
        <v>6.3200000000000006E-2</v>
      </c>
    </row>
    <row r="634" spans="41:52" x14ac:dyDescent="0.3">
      <c r="AO634" s="62"/>
      <c r="AZ634" s="284">
        <v>6.3299999999999995E-2</v>
      </c>
    </row>
    <row r="635" spans="41:52" x14ac:dyDescent="0.3">
      <c r="AO635" s="62"/>
      <c r="AZ635" s="284">
        <v>6.3399999999999998E-2</v>
      </c>
    </row>
    <row r="636" spans="41:52" x14ac:dyDescent="0.3">
      <c r="AO636" s="62"/>
      <c r="AZ636" s="284">
        <v>6.3500000000000001E-2</v>
      </c>
    </row>
    <row r="637" spans="41:52" x14ac:dyDescent="0.3">
      <c r="AO637" s="62"/>
      <c r="AZ637" s="284">
        <v>6.3600000000000004E-2</v>
      </c>
    </row>
    <row r="638" spans="41:52" x14ac:dyDescent="0.3">
      <c r="AO638" s="62"/>
      <c r="AZ638" s="284">
        <v>6.3700000000000007E-2</v>
      </c>
    </row>
    <row r="639" spans="41:52" x14ac:dyDescent="0.3">
      <c r="AO639" s="62"/>
      <c r="AZ639" s="284">
        <v>6.3799999999999996E-2</v>
      </c>
    </row>
    <row r="640" spans="41:52" x14ac:dyDescent="0.3">
      <c r="AO640" s="62"/>
      <c r="AZ640" s="284">
        <v>6.3899999999999998E-2</v>
      </c>
    </row>
    <row r="641" spans="41:52" x14ac:dyDescent="0.3">
      <c r="AO641" s="62"/>
      <c r="AZ641" s="284">
        <v>6.4000000000000001E-2</v>
      </c>
    </row>
    <row r="642" spans="41:52" x14ac:dyDescent="0.3">
      <c r="AO642" s="62"/>
      <c r="AZ642" s="284">
        <v>6.4100000000000004E-2</v>
      </c>
    </row>
    <row r="643" spans="41:52" x14ac:dyDescent="0.3">
      <c r="AO643" s="62"/>
      <c r="AZ643" s="284">
        <v>6.4199999999999993E-2</v>
      </c>
    </row>
    <row r="644" spans="41:52" x14ac:dyDescent="0.3">
      <c r="AO644" s="62"/>
      <c r="AZ644" s="284">
        <v>6.4299999999999996E-2</v>
      </c>
    </row>
    <row r="645" spans="41:52" x14ac:dyDescent="0.3">
      <c r="AO645" s="62"/>
      <c r="AZ645" s="284">
        <v>6.4399999999999999E-2</v>
      </c>
    </row>
    <row r="646" spans="41:52" x14ac:dyDescent="0.3">
      <c r="AO646" s="62"/>
      <c r="AZ646" s="284">
        <v>6.4500000000000002E-2</v>
      </c>
    </row>
    <row r="647" spans="41:52" x14ac:dyDescent="0.3">
      <c r="AO647" s="62"/>
      <c r="AZ647" s="284">
        <v>6.4600000000000005E-2</v>
      </c>
    </row>
    <row r="648" spans="41:52" x14ac:dyDescent="0.3">
      <c r="AO648" s="62"/>
      <c r="AZ648" s="284">
        <v>6.4699999999999994E-2</v>
      </c>
    </row>
    <row r="649" spans="41:52" x14ac:dyDescent="0.3">
      <c r="AO649" s="62"/>
      <c r="AZ649" s="284">
        <v>6.4799999999999996E-2</v>
      </c>
    </row>
    <row r="650" spans="41:52" x14ac:dyDescent="0.3">
      <c r="AO650" s="62"/>
      <c r="AZ650" s="284">
        <v>6.4899999999999999E-2</v>
      </c>
    </row>
    <row r="651" spans="41:52" x14ac:dyDescent="0.3">
      <c r="AO651" s="62"/>
      <c r="AZ651" s="284">
        <v>6.5000000000000002E-2</v>
      </c>
    </row>
    <row r="652" spans="41:52" x14ac:dyDescent="0.3">
      <c r="AO652" s="62"/>
      <c r="AZ652" s="284">
        <v>6.5100000000000005E-2</v>
      </c>
    </row>
    <row r="653" spans="41:52" x14ac:dyDescent="0.3">
      <c r="AO653" s="62"/>
      <c r="AZ653" s="284">
        <v>6.5199999999999994E-2</v>
      </c>
    </row>
    <row r="654" spans="41:52" x14ac:dyDescent="0.3">
      <c r="AO654" s="62"/>
      <c r="AZ654" s="284">
        <v>6.5299999999999997E-2</v>
      </c>
    </row>
    <row r="655" spans="41:52" x14ac:dyDescent="0.3">
      <c r="AO655" s="62"/>
      <c r="AZ655" s="284">
        <v>6.54E-2</v>
      </c>
    </row>
    <row r="656" spans="41:52" x14ac:dyDescent="0.3">
      <c r="AO656" s="62"/>
      <c r="AZ656" s="284">
        <v>6.5500000000000003E-2</v>
      </c>
    </row>
    <row r="657" spans="41:52" x14ac:dyDescent="0.3">
      <c r="AO657" s="62"/>
      <c r="AZ657" s="284">
        <v>6.5600000000000006E-2</v>
      </c>
    </row>
    <row r="658" spans="41:52" x14ac:dyDescent="0.3">
      <c r="AO658" s="62"/>
      <c r="AZ658" s="284">
        <v>6.5699999999999995E-2</v>
      </c>
    </row>
    <row r="659" spans="41:52" x14ac:dyDescent="0.3">
      <c r="AO659" s="62"/>
      <c r="AZ659" s="284">
        <v>6.5799999999999997E-2</v>
      </c>
    </row>
    <row r="660" spans="41:52" x14ac:dyDescent="0.3">
      <c r="AO660" s="62"/>
      <c r="AZ660" s="284">
        <v>6.59E-2</v>
      </c>
    </row>
    <row r="661" spans="41:52" x14ac:dyDescent="0.3">
      <c r="AO661" s="62"/>
      <c r="AZ661" s="284">
        <v>6.6000000000000003E-2</v>
      </c>
    </row>
    <row r="662" spans="41:52" x14ac:dyDescent="0.3">
      <c r="AO662" s="62"/>
      <c r="AZ662" s="284">
        <v>6.6100000000000006E-2</v>
      </c>
    </row>
    <row r="663" spans="41:52" x14ac:dyDescent="0.3">
      <c r="AO663" s="62"/>
      <c r="AZ663" s="284">
        <v>6.6199999999999995E-2</v>
      </c>
    </row>
    <row r="664" spans="41:52" x14ac:dyDescent="0.3">
      <c r="AO664" s="62"/>
      <c r="AZ664" s="284">
        <v>6.6299999999999998E-2</v>
      </c>
    </row>
    <row r="665" spans="41:52" x14ac:dyDescent="0.3">
      <c r="AO665" s="62"/>
      <c r="AZ665" s="284">
        <v>6.6400000000000001E-2</v>
      </c>
    </row>
    <row r="666" spans="41:52" x14ac:dyDescent="0.3">
      <c r="AO666" s="62"/>
      <c r="AZ666" s="284">
        <v>6.6500000000000004E-2</v>
      </c>
    </row>
    <row r="667" spans="41:52" x14ac:dyDescent="0.3">
      <c r="AO667" s="62"/>
      <c r="AZ667" s="284">
        <v>6.6600000000000006E-2</v>
      </c>
    </row>
    <row r="668" spans="41:52" x14ac:dyDescent="0.3">
      <c r="AO668" s="62"/>
      <c r="AZ668" s="284">
        <v>6.6699999999999995E-2</v>
      </c>
    </row>
    <row r="669" spans="41:52" x14ac:dyDescent="0.3">
      <c r="AO669" s="62"/>
      <c r="AZ669" s="284">
        <v>6.6799999999999998E-2</v>
      </c>
    </row>
    <row r="670" spans="41:52" x14ac:dyDescent="0.3">
      <c r="AO670" s="62"/>
      <c r="AZ670" s="284">
        <v>6.6900000000000001E-2</v>
      </c>
    </row>
    <row r="671" spans="41:52" x14ac:dyDescent="0.3">
      <c r="AO671" s="62"/>
      <c r="AZ671" s="284">
        <v>6.7000000000000004E-2</v>
      </c>
    </row>
    <row r="672" spans="41:52" x14ac:dyDescent="0.3">
      <c r="AO672" s="62"/>
      <c r="AZ672" s="284">
        <v>6.7100000000000007E-2</v>
      </c>
    </row>
    <row r="673" spans="41:52" x14ac:dyDescent="0.3">
      <c r="AO673" s="62"/>
      <c r="AZ673" s="284">
        <v>6.7199999999999996E-2</v>
      </c>
    </row>
    <row r="674" spans="41:52" x14ac:dyDescent="0.3">
      <c r="AO674" s="62"/>
      <c r="AZ674" s="284">
        <v>6.7299999999999999E-2</v>
      </c>
    </row>
    <row r="675" spans="41:52" x14ac:dyDescent="0.3">
      <c r="AO675" s="62"/>
      <c r="AZ675" s="284">
        <v>6.7400000000000002E-2</v>
      </c>
    </row>
    <row r="676" spans="41:52" x14ac:dyDescent="0.3">
      <c r="AO676" s="62"/>
      <c r="AZ676" s="284">
        <v>6.7500000000000004E-2</v>
      </c>
    </row>
    <row r="677" spans="41:52" x14ac:dyDescent="0.3">
      <c r="AO677" s="62"/>
      <c r="AZ677" s="284">
        <v>6.7599999999999993E-2</v>
      </c>
    </row>
    <row r="678" spans="41:52" x14ac:dyDescent="0.3">
      <c r="AO678" s="62"/>
      <c r="AZ678" s="284">
        <v>6.7699999999999996E-2</v>
      </c>
    </row>
    <row r="679" spans="41:52" x14ac:dyDescent="0.3">
      <c r="AO679" s="62"/>
      <c r="AZ679" s="284">
        <v>6.7799999999999999E-2</v>
      </c>
    </row>
    <row r="680" spans="41:52" x14ac:dyDescent="0.3">
      <c r="AO680" s="62"/>
      <c r="AZ680" s="284">
        <v>6.7900000000000002E-2</v>
      </c>
    </row>
    <row r="681" spans="41:52" x14ac:dyDescent="0.3">
      <c r="AO681" s="62"/>
      <c r="AZ681" s="284">
        <v>6.8000000000000005E-2</v>
      </c>
    </row>
    <row r="682" spans="41:52" x14ac:dyDescent="0.3">
      <c r="AO682" s="62"/>
      <c r="AZ682" s="284">
        <v>6.8099999999999994E-2</v>
      </c>
    </row>
    <row r="683" spans="41:52" x14ac:dyDescent="0.3">
      <c r="AO683" s="62"/>
      <c r="AZ683" s="284">
        <v>6.8199999999999997E-2</v>
      </c>
    </row>
    <row r="684" spans="41:52" x14ac:dyDescent="0.3">
      <c r="AO684" s="62"/>
      <c r="AZ684" s="284">
        <v>6.83E-2</v>
      </c>
    </row>
    <row r="685" spans="41:52" x14ac:dyDescent="0.3">
      <c r="AO685" s="62"/>
      <c r="AZ685" s="284">
        <v>6.8400000000000002E-2</v>
      </c>
    </row>
    <row r="686" spans="41:52" x14ac:dyDescent="0.3">
      <c r="AO686" s="62"/>
      <c r="AZ686" s="284">
        <v>6.8500000000000005E-2</v>
      </c>
    </row>
    <row r="687" spans="41:52" x14ac:dyDescent="0.3">
      <c r="AO687" s="62"/>
      <c r="AZ687" s="284">
        <v>6.8599999999999994E-2</v>
      </c>
    </row>
    <row r="688" spans="41:52" x14ac:dyDescent="0.3">
      <c r="AO688" s="62"/>
      <c r="AZ688" s="284">
        <v>6.8699999999999997E-2</v>
      </c>
    </row>
    <row r="689" spans="41:52" x14ac:dyDescent="0.3">
      <c r="AO689" s="62"/>
      <c r="AZ689" s="284">
        <v>6.88E-2</v>
      </c>
    </row>
    <row r="690" spans="41:52" x14ac:dyDescent="0.3">
      <c r="AO690" s="62"/>
      <c r="AZ690" s="284">
        <v>6.8900000000000003E-2</v>
      </c>
    </row>
    <row r="691" spans="41:52" x14ac:dyDescent="0.3">
      <c r="AO691" s="62"/>
      <c r="AZ691" s="284">
        <v>6.9000000000000006E-2</v>
      </c>
    </row>
    <row r="692" spans="41:52" x14ac:dyDescent="0.3">
      <c r="AO692" s="62"/>
      <c r="AZ692" s="284">
        <v>6.9099999999999995E-2</v>
      </c>
    </row>
    <row r="693" spans="41:52" x14ac:dyDescent="0.3">
      <c r="AO693" s="62"/>
      <c r="AZ693" s="284">
        <v>6.9199999999999998E-2</v>
      </c>
    </row>
    <row r="694" spans="41:52" x14ac:dyDescent="0.3">
      <c r="AO694" s="62"/>
      <c r="AZ694" s="284">
        <v>6.93E-2</v>
      </c>
    </row>
    <row r="695" spans="41:52" x14ac:dyDescent="0.3">
      <c r="AO695" s="62"/>
      <c r="AZ695" s="284">
        <v>6.9400000000000003E-2</v>
      </c>
    </row>
    <row r="696" spans="41:52" x14ac:dyDescent="0.3">
      <c r="AO696" s="62"/>
      <c r="AZ696" s="284">
        <v>6.9500000000000006E-2</v>
      </c>
    </row>
    <row r="697" spans="41:52" x14ac:dyDescent="0.3">
      <c r="AO697" s="62"/>
      <c r="AZ697" s="284">
        <v>6.9599999999999995E-2</v>
      </c>
    </row>
    <row r="698" spans="41:52" x14ac:dyDescent="0.3">
      <c r="AO698" s="62"/>
      <c r="AZ698" s="284">
        <v>6.9699999999999998E-2</v>
      </c>
    </row>
    <row r="699" spans="41:52" x14ac:dyDescent="0.3">
      <c r="AO699" s="62"/>
      <c r="AZ699" s="284">
        <v>6.9800000000000001E-2</v>
      </c>
    </row>
    <row r="700" spans="41:52" x14ac:dyDescent="0.3">
      <c r="AO700" s="62"/>
      <c r="AZ700" s="284">
        <v>6.9900000000000004E-2</v>
      </c>
    </row>
    <row r="701" spans="41:52" x14ac:dyDescent="0.3">
      <c r="AO701" s="62"/>
      <c r="AZ701" s="284">
        <v>7.0000000000000007E-2</v>
      </c>
    </row>
    <row r="702" spans="41:52" x14ac:dyDescent="0.3">
      <c r="AO702" s="62"/>
      <c r="AZ702" s="284">
        <v>7.0099999999999996E-2</v>
      </c>
    </row>
    <row r="703" spans="41:52" x14ac:dyDescent="0.3">
      <c r="AO703" s="62"/>
      <c r="AZ703" s="284">
        <v>7.0199999999999999E-2</v>
      </c>
    </row>
    <row r="704" spans="41:52" x14ac:dyDescent="0.3">
      <c r="AO704" s="62"/>
      <c r="AZ704" s="284">
        <v>7.0300000000000001E-2</v>
      </c>
    </row>
    <row r="705" spans="41:52" x14ac:dyDescent="0.3">
      <c r="AO705" s="62"/>
      <c r="AZ705" s="284">
        <v>7.0400000000000004E-2</v>
      </c>
    </row>
    <row r="706" spans="41:52" x14ac:dyDescent="0.3">
      <c r="AO706" s="62"/>
      <c r="AZ706" s="284">
        <v>7.0499999999999993E-2</v>
      </c>
    </row>
    <row r="707" spans="41:52" x14ac:dyDescent="0.3">
      <c r="AO707" s="62"/>
      <c r="AZ707" s="284">
        <v>7.0599999999999996E-2</v>
      </c>
    </row>
    <row r="708" spans="41:52" x14ac:dyDescent="0.3">
      <c r="AO708" s="62"/>
      <c r="AZ708" s="284">
        <v>7.0699999999999999E-2</v>
      </c>
    </row>
    <row r="709" spans="41:52" x14ac:dyDescent="0.3">
      <c r="AO709" s="62"/>
      <c r="AZ709" s="284">
        <v>7.0800000000000002E-2</v>
      </c>
    </row>
    <row r="710" spans="41:52" x14ac:dyDescent="0.3">
      <c r="AO710" s="62"/>
      <c r="AZ710" s="284">
        <v>7.0900000000000005E-2</v>
      </c>
    </row>
    <row r="711" spans="41:52" x14ac:dyDescent="0.3">
      <c r="AO711" s="62"/>
      <c r="AZ711" s="284">
        <v>7.0999999999999994E-2</v>
      </c>
    </row>
    <row r="712" spans="41:52" x14ac:dyDescent="0.3">
      <c r="AO712" s="62"/>
      <c r="AZ712" s="284">
        <v>7.1099999999999997E-2</v>
      </c>
    </row>
    <row r="713" spans="41:52" x14ac:dyDescent="0.3">
      <c r="AO713" s="62"/>
      <c r="AZ713" s="284">
        <v>7.1199999999999999E-2</v>
      </c>
    </row>
    <row r="714" spans="41:52" x14ac:dyDescent="0.3">
      <c r="AO714" s="62"/>
      <c r="AZ714" s="284">
        <v>7.1300000000000002E-2</v>
      </c>
    </row>
    <row r="715" spans="41:52" x14ac:dyDescent="0.3">
      <c r="AO715" s="62"/>
      <c r="AZ715" s="284">
        <v>7.1400000000000005E-2</v>
      </c>
    </row>
    <row r="716" spans="41:52" x14ac:dyDescent="0.3">
      <c r="AO716" s="62"/>
      <c r="AZ716" s="284">
        <v>7.1499999999999994E-2</v>
      </c>
    </row>
    <row r="717" spans="41:52" x14ac:dyDescent="0.3">
      <c r="AO717" s="62"/>
      <c r="AZ717" s="284">
        <v>7.1599999999999997E-2</v>
      </c>
    </row>
    <row r="718" spans="41:52" x14ac:dyDescent="0.3">
      <c r="AO718" s="62"/>
      <c r="AZ718" s="284">
        <v>7.17E-2</v>
      </c>
    </row>
    <row r="719" spans="41:52" x14ac:dyDescent="0.3">
      <c r="AO719" s="62"/>
      <c r="AZ719" s="284">
        <v>7.1800000000000003E-2</v>
      </c>
    </row>
    <row r="720" spans="41:52" x14ac:dyDescent="0.3">
      <c r="AO720" s="62"/>
      <c r="AZ720" s="284">
        <v>7.1900000000000006E-2</v>
      </c>
    </row>
    <row r="721" spans="41:52" x14ac:dyDescent="0.3">
      <c r="AO721" s="62"/>
      <c r="AZ721" s="284">
        <v>7.1999999999999995E-2</v>
      </c>
    </row>
    <row r="722" spans="41:52" x14ac:dyDescent="0.3">
      <c r="AO722" s="62"/>
      <c r="AZ722" s="284">
        <v>7.2099999999999997E-2</v>
      </c>
    </row>
    <row r="723" spans="41:52" x14ac:dyDescent="0.3">
      <c r="AO723" s="62"/>
      <c r="AZ723" s="284">
        <v>7.22E-2</v>
      </c>
    </row>
    <row r="724" spans="41:52" x14ac:dyDescent="0.3">
      <c r="AO724" s="62"/>
      <c r="AZ724" s="284">
        <v>7.2300000000000003E-2</v>
      </c>
    </row>
    <row r="725" spans="41:52" x14ac:dyDescent="0.3">
      <c r="AO725" s="62"/>
      <c r="AZ725" s="284">
        <v>7.2400000000000006E-2</v>
      </c>
    </row>
    <row r="726" spans="41:52" x14ac:dyDescent="0.3">
      <c r="AO726" s="62"/>
      <c r="AZ726" s="284">
        <v>7.2499999999999995E-2</v>
      </c>
    </row>
    <row r="727" spans="41:52" x14ac:dyDescent="0.3">
      <c r="AO727" s="62"/>
      <c r="AZ727" s="284">
        <v>7.2599999999999998E-2</v>
      </c>
    </row>
    <row r="728" spans="41:52" x14ac:dyDescent="0.3">
      <c r="AO728" s="62"/>
      <c r="AZ728" s="284">
        <v>7.2700000000000001E-2</v>
      </c>
    </row>
    <row r="729" spans="41:52" x14ac:dyDescent="0.3">
      <c r="AO729" s="62"/>
      <c r="AZ729" s="284">
        <v>7.2800000000000004E-2</v>
      </c>
    </row>
    <row r="730" spans="41:52" x14ac:dyDescent="0.3">
      <c r="AO730" s="62"/>
      <c r="AZ730" s="284">
        <v>7.2900000000000006E-2</v>
      </c>
    </row>
    <row r="731" spans="41:52" x14ac:dyDescent="0.3">
      <c r="AO731" s="62"/>
      <c r="AZ731" s="284">
        <v>7.2999999999999995E-2</v>
      </c>
    </row>
    <row r="732" spans="41:52" x14ac:dyDescent="0.3">
      <c r="AO732" s="62"/>
      <c r="AZ732" s="284">
        <v>7.3099999999999998E-2</v>
      </c>
    </row>
    <row r="733" spans="41:52" x14ac:dyDescent="0.3">
      <c r="AO733" s="62"/>
      <c r="AZ733" s="284">
        <v>7.3200000000000001E-2</v>
      </c>
    </row>
    <row r="734" spans="41:52" x14ac:dyDescent="0.3">
      <c r="AO734" s="62"/>
      <c r="AZ734" s="284">
        <v>7.3300000000000004E-2</v>
      </c>
    </row>
    <row r="735" spans="41:52" x14ac:dyDescent="0.3">
      <c r="AO735" s="62"/>
      <c r="AZ735" s="284">
        <v>7.3400000000000007E-2</v>
      </c>
    </row>
    <row r="736" spans="41:52" x14ac:dyDescent="0.3">
      <c r="AO736" s="62"/>
      <c r="AZ736" s="284">
        <v>7.3499999999999996E-2</v>
      </c>
    </row>
    <row r="737" spans="41:52" x14ac:dyDescent="0.3">
      <c r="AO737" s="62"/>
      <c r="AZ737" s="284">
        <v>7.3599999999999999E-2</v>
      </c>
    </row>
    <row r="738" spans="41:52" x14ac:dyDescent="0.3">
      <c r="AO738" s="62"/>
      <c r="AZ738" s="284">
        <v>7.3700000000000002E-2</v>
      </c>
    </row>
    <row r="739" spans="41:52" x14ac:dyDescent="0.3">
      <c r="AO739" s="62"/>
      <c r="AZ739" s="284">
        <v>7.3800000000000004E-2</v>
      </c>
    </row>
    <row r="740" spans="41:52" x14ac:dyDescent="0.3">
      <c r="AO740" s="62"/>
      <c r="AZ740" s="284">
        <v>7.3899999999999993E-2</v>
      </c>
    </row>
    <row r="741" spans="41:52" x14ac:dyDescent="0.3">
      <c r="AO741" s="62"/>
      <c r="AZ741" s="284">
        <v>7.3999999999999996E-2</v>
      </c>
    </row>
    <row r="742" spans="41:52" x14ac:dyDescent="0.3">
      <c r="AO742" s="62"/>
      <c r="AZ742" s="284">
        <v>7.4099999999999999E-2</v>
      </c>
    </row>
    <row r="743" spans="41:52" x14ac:dyDescent="0.3">
      <c r="AO743" s="62"/>
      <c r="AZ743" s="284">
        <v>7.4200000000000002E-2</v>
      </c>
    </row>
    <row r="744" spans="41:52" x14ac:dyDescent="0.3">
      <c r="AO744" s="62"/>
      <c r="AZ744" s="284">
        <v>7.4300000000000005E-2</v>
      </c>
    </row>
    <row r="745" spans="41:52" x14ac:dyDescent="0.3">
      <c r="AO745" s="62"/>
      <c r="AZ745" s="284">
        <v>7.4399999999999994E-2</v>
      </c>
    </row>
    <row r="746" spans="41:52" x14ac:dyDescent="0.3">
      <c r="AO746" s="62"/>
      <c r="AZ746" s="284">
        <v>7.4499999999999997E-2</v>
      </c>
    </row>
    <row r="747" spans="41:52" x14ac:dyDescent="0.3">
      <c r="AO747" s="62"/>
      <c r="AZ747" s="284">
        <v>7.46E-2</v>
      </c>
    </row>
    <row r="748" spans="41:52" x14ac:dyDescent="0.3">
      <c r="AO748" s="62"/>
      <c r="AZ748" s="284">
        <v>7.4700000000000003E-2</v>
      </c>
    </row>
    <row r="749" spans="41:52" x14ac:dyDescent="0.3">
      <c r="AO749" s="62"/>
      <c r="AZ749" s="284">
        <v>7.4800000000000005E-2</v>
      </c>
    </row>
    <row r="750" spans="41:52" x14ac:dyDescent="0.3">
      <c r="AO750" s="62"/>
      <c r="AZ750" s="284">
        <v>7.4899999999999994E-2</v>
      </c>
    </row>
    <row r="751" spans="41:52" x14ac:dyDescent="0.3">
      <c r="AO751" s="62"/>
      <c r="AZ751" s="284">
        <v>7.4999999999999997E-2</v>
      </c>
    </row>
    <row r="752" spans="41:52" x14ac:dyDescent="0.3">
      <c r="AO752" s="62"/>
      <c r="AZ752" s="284">
        <v>7.51E-2</v>
      </c>
    </row>
    <row r="753" spans="41:52" x14ac:dyDescent="0.3">
      <c r="AO753" s="62"/>
      <c r="AZ753" s="284">
        <v>7.5200000000000003E-2</v>
      </c>
    </row>
    <row r="754" spans="41:52" x14ac:dyDescent="0.3">
      <c r="AO754" s="62"/>
      <c r="AZ754" s="284">
        <v>7.5300000000000006E-2</v>
      </c>
    </row>
    <row r="755" spans="41:52" x14ac:dyDescent="0.3">
      <c r="AO755" s="62"/>
      <c r="AZ755" s="284">
        <v>7.5399999999999995E-2</v>
      </c>
    </row>
    <row r="756" spans="41:52" x14ac:dyDescent="0.3">
      <c r="AO756" s="62"/>
      <c r="AZ756" s="284">
        <v>7.5499999999999998E-2</v>
      </c>
    </row>
    <row r="757" spans="41:52" x14ac:dyDescent="0.3">
      <c r="AO757" s="62"/>
      <c r="AZ757" s="284">
        <v>7.5600000000000001E-2</v>
      </c>
    </row>
    <row r="758" spans="41:52" x14ac:dyDescent="0.3">
      <c r="AO758" s="62"/>
      <c r="AZ758" s="284">
        <v>7.5700000000000003E-2</v>
      </c>
    </row>
    <row r="759" spans="41:52" x14ac:dyDescent="0.3">
      <c r="AO759" s="62"/>
      <c r="AZ759" s="284">
        <v>7.5800000000000006E-2</v>
      </c>
    </row>
    <row r="760" spans="41:52" x14ac:dyDescent="0.3">
      <c r="AO760" s="62"/>
      <c r="AZ760" s="284">
        <v>7.5899999999999995E-2</v>
      </c>
    </row>
    <row r="761" spans="41:52" x14ac:dyDescent="0.3">
      <c r="AO761" s="62"/>
      <c r="AZ761" s="284">
        <v>7.5999999999999998E-2</v>
      </c>
    </row>
    <row r="762" spans="41:52" x14ac:dyDescent="0.3">
      <c r="AO762" s="62"/>
      <c r="AZ762" s="284">
        <v>7.6100000000000001E-2</v>
      </c>
    </row>
    <row r="763" spans="41:52" x14ac:dyDescent="0.3">
      <c r="AO763" s="62"/>
      <c r="AZ763" s="284">
        <v>7.6200000000000004E-2</v>
      </c>
    </row>
    <row r="764" spans="41:52" x14ac:dyDescent="0.3">
      <c r="AO764" s="62"/>
      <c r="AZ764" s="284">
        <v>7.6300000000000007E-2</v>
      </c>
    </row>
    <row r="765" spans="41:52" x14ac:dyDescent="0.3">
      <c r="AO765" s="62"/>
      <c r="AZ765" s="284">
        <v>7.6399999999999996E-2</v>
      </c>
    </row>
    <row r="766" spans="41:52" x14ac:dyDescent="0.3">
      <c r="AO766" s="62"/>
      <c r="AZ766" s="284">
        <v>7.6499999999999999E-2</v>
      </c>
    </row>
    <row r="767" spans="41:52" x14ac:dyDescent="0.3">
      <c r="AO767" s="62"/>
      <c r="AZ767" s="284">
        <v>7.6600000000000001E-2</v>
      </c>
    </row>
    <row r="768" spans="41:52" x14ac:dyDescent="0.3">
      <c r="AO768" s="62"/>
      <c r="AZ768" s="284">
        <v>7.6700000000000004E-2</v>
      </c>
    </row>
    <row r="769" spans="41:52" x14ac:dyDescent="0.3">
      <c r="AO769" s="62"/>
      <c r="AZ769" s="284">
        <v>7.6799999999999993E-2</v>
      </c>
    </row>
    <row r="770" spans="41:52" x14ac:dyDescent="0.3">
      <c r="AO770" s="62"/>
      <c r="AZ770" s="284">
        <v>7.6899999999999996E-2</v>
      </c>
    </row>
    <row r="771" spans="41:52" x14ac:dyDescent="0.3">
      <c r="AO771" s="62"/>
      <c r="AZ771" s="284">
        <v>7.6999999999999999E-2</v>
      </c>
    </row>
    <row r="772" spans="41:52" x14ac:dyDescent="0.3">
      <c r="AO772" s="62"/>
      <c r="AZ772" s="284">
        <v>7.7100000000000002E-2</v>
      </c>
    </row>
    <row r="773" spans="41:52" x14ac:dyDescent="0.3">
      <c r="AO773" s="62"/>
      <c r="AZ773" s="284">
        <v>7.7200000000000005E-2</v>
      </c>
    </row>
    <row r="774" spans="41:52" x14ac:dyDescent="0.3">
      <c r="AO774" s="62"/>
      <c r="AZ774" s="284">
        <v>7.7299999999999994E-2</v>
      </c>
    </row>
    <row r="775" spans="41:52" x14ac:dyDescent="0.3">
      <c r="AO775" s="62"/>
      <c r="AZ775" s="284">
        <v>7.7399999999999997E-2</v>
      </c>
    </row>
    <row r="776" spans="41:52" x14ac:dyDescent="0.3">
      <c r="AO776" s="62"/>
      <c r="AZ776" s="284">
        <v>7.7499999999999999E-2</v>
      </c>
    </row>
    <row r="777" spans="41:52" x14ac:dyDescent="0.3">
      <c r="AO777" s="62"/>
      <c r="AZ777" s="284">
        <v>7.7600000000000002E-2</v>
      </c>
    </row>
    <row r="778" spans="41:52" x14ac:dyDescent="0.3">
      <c r="AO778" s="62"/>
      <c r="AZ778" s="284">
        <v>7.7700000000000005E-2</v>
      </c>
    </row>
    <row r="779" spans="41:52" x14ac:dyDescent="0.3">
      <c r="AO779" s="62"/>
      <c r="AZ779" s="284">
        <v>7.7799999999999994E-2</v>
      </c>
    </row>
    <row r="780" spans="41:52" x14ac:dyDescent="0.3">
      <c r="AO780" s="62"/>
      <c r="AZ780" s="284">
        <v>7.7899999999999997E-2</v>
      </c>
    </row>
    <row r="781" spans="41:52" x14ac:dyDescent="0.3">
      <c r="AO781" s="62"/>
      <c r="AZ781" s="284">
        <v>7.8E-2</v>
      </c>
    </row>
    <row r="782" spans="41:52" x14ac:dyDescent="0.3">
      <c r="AO782" s="62"/>
      <c r="AZ782" s="284">
        <v>7.8100000000000003E-2</v>
      </c>
    </row>
    <row r="783" spans="41:52" x14ac:dyDescent="0.3">
      <c r="AO783" s="62"/>
      <c r="AZ783" s="284">
        <v>7.8200000000000006E-2</v>
      </c>
    </row>
    <row r="784" spans="41:52" x14ac:dyDescent="0.3">
      <c r="AO784" s="62"/>
      <c r="AZ784" s="284">
        <v>7.8299999999999995E-2</v>
      </c>
    </row>
    <row r="785" spans="41:52" x14ac:dyDescent="0.3">
      <c r="AO785" s="62"/>
      <c r="AZ785" s="284">
        <v>7.8399999999999997E-2</v>
      </c>
    </row>
    <row r="786" spans="41:52" x14ac:dyDescent="0.3">
      <c r="AO786" s="62"/>
      <c r="AZ786" s="284">
        <v>7.85E-2</v>
      </c>
    </row>
    <row r="787" spans="41:52" x14ac:dyDescent="0.3">
      <c r="AO787" s="62"/>
      <c r="AZ787" s="284">
        <v>7.8600000000000003E-2</v>
      </c>
    </row>
    <row r="788" spans="41:52" x14ac:dyDescent="0.3">
      <c r="AO788" s="62"/>
      <c r="AZ788" s="284">
        <v>7.8700000000000006E-2</v>
      </c>
    </row>
    <row r="789" spans="41:52" x14ac:dyDescent="0.3">
      <c r="AO789" s="62"/>
      <c r="AZ789" s="284">
        <v>7.8799999999999995E-2</v>
      </c>
    </row>
    <row r="790" spans="41:52" x14ac:dyDescent="0.3">
      <c r="AO790" s="62"/>
      <c r="AZ790" s="284">
        <v>7.8899999999999998E-2</v>
      </c>
    </row>
    <row r="791" spans="41:52" x14ac:dyDescent="0.3">
      <c r="AO791" s="62"/>
      <c r="AZ791" s="284">
        <v>7.9000000000000001E-2</v>
      </c>
    </row>
    <row r="792" spans="41:52" x14ac:dyDescent="0.3">
      <c r="AO792" s="62"/>
      <c r="AZ792" s="284">
        <v>7.9100000000000004E-2</v>
      </c>
    </row>
    <row r="793" spans="41:52" x14ac:dyDescent="0.3">
      <c r="AO793" s="62"/>
      <c r="AZ793" s="284">
        <v>7.9200000000000007E-2</v>
      </c>
    </row>
    <row r="794" spans="41:52" x14ac:dyDescent="0.3">
      <c r="AO794" s="62"/>
      <c r="AZ794" s="284">
        <v>7.9299999999999995E-2</v>
      </c>
    </row>
    <row r="795" spans="41:52" x14ac:dyDescent="0.3">
      <c r="AO795" s="62"/>
      <c r="AZ795" s="284">
        <v>7.9399999999999998E-2</v>
      </c>
    </row>
    <row r="796" spans="41:52" x14ac:dyDescent="0.3">
      <c r="AO796" s="62"/>
      <c r="AZ796" s="284">
        <v>7.9500000000000001E-2</v>
      </c>
    </row>
    <row r="797" spans="41:52" x14ac:dyDescent="0.3">
      <c r="AO797" s="62"/>
      <c r="AZ797" s="284">
        <v>7.9600000000000004E-2</v>
      </c>
    </row>
    <row r="798" spans="41:52" x14ac:dyDescent="0.3">
      <c r="AO798" s="62"/>
      <c r="AZ798" s="284">
        <v>7.9699999999999993E-2</v>
      </c>
    </row>
    <row r="799" spans="41:52" x14ac:dyDescent="0.3">
      <c r="AO799" s="62"/>
      <c r="AZ799" s="284">
        <v>7.9799999999999996E-2</v>
      </c>
    </row>
    <row r="800" spans="41:52" x14ac:dyDescent="0.3">
      <c r="AO800" s="62"/>
      <c r="AZ800" s="284">
        <v>7.9899999999999999E-2</v>
      </c>
    </row>
    <row r="801" spans="41:52" x14ac:dyDescent="0.3">
      <c r="AO801" s="62"/>
      <c r="AZ801" s="284">
        <v>0.08</v>
      </c>
    </row>
    <row r="802" spans="41:52" x14ac:dyDescent="0.3">
      <c r="AO802" s="62"/>
      <c r="AZ802" s="284">
        <v>8.0100000000000005E-2</v>
      </c>
    </row>
    <row r="803" spans="41:52" x14ac:dyDescent="0.3">
      <c r="AO803" s="62"/>
      <c r="AZ803" s="284">
        <v>8.0199999999999994E-2</v>
      </c>
    </row>
    <row r="804" spans="41:52" x14ac:dyDescent="0.3">
      <c r="AO804" s="62"/>
      <c r="AZ804" s="284">
        <v>8.0299999999999996E-2</v>
      </c>
    </row>
    <row r="805" spans="41:52" x14ac:dyDescent="0.3">
      <c r="AO805" s="62"/>
      <c r="AZ805" s="284">
        <v>8.0399999999999999E-2</v>
      </c>
    </row>
    <row r="806" spans="41:52" x14ac:dyDescent="0.3">
      <c r="AO806" s="62"/>
      <c r="AZ806" s="284">
        <v>8.0500000000000002E-2</v>
      </c>
    </row>
    <row r="807" spans="41:52" x14ac:dyDescent="0.3">
      <c r="AO807" s="62"/>
      <c r="AZ807" s="284">
        <v>8.0600000000000005E-2</v>
      </c>
    </row>
    <row r="808" spans="41:52" x14ac:dyDescent="0.3">
      <c r="AO808" s="62"/>
      <c r="AZ808" s="284">
        <v>8.0699999999999994E-2</v>
      </c>
    </row>
    <row r="809" spans="41:52" x14ac:dyDescent="0.3">
      <c r="AO809" s="62"/>
      <c r="AZ809" s="284">
        <v>8.0799999999999997E-2</v>
      </c>
    </row>
    <row r="810" spans="41:52" x14ac:dyDescent="0.3">
      <c r="AO810" s="62"/>
      <c r="AZ810" s="284">
        <v>8.09E-2</v>
      </c>
    </row>
    <row r="811" spans="41:52" x14ac:dyDescent="0.3">
      <c r="AO811" s="62"/>
      <c r="AZ811" s="284">
        <v>8.1000000000000003E-2</v>
      </c>
    </row>
    <row r="812" spans="41:52" x14ac:dyDescent="0.3">
      <c r="AO812" s="62"/>
      <c r="AZ812" s="284">
        <v>8.1100000000000005E-2</v>
      </c>
    </row>
    <row r="813" spans="41:52" x14ac:dyDescent="0.3">
      <c r="AO813" s="62"/>
      <c r="AZ813" s="284">
        <v>8.1199999999999994E-2</v>
      </c>
    </row>
    <row r="814" spans="41:52" x14ac:dyDescent="0.3">
      <c r="AO814" s="62"/>
      <c r="AZ814" s="284">
        <v>8.1299999999999997E-2</v>
      </c>
    </row>
    <row r="815" spans="41:52" x14ac:dyDescent="0.3">
      <c r="AO815" s="62"/>
      <c r="AZ815" s="284">
        <v>8.14E-2</v>
      </c>
    </row>
    <row r="816" spans="41:52" x14ac:dyDescent="0.3">
      <c r="AO816" s="62"/>
      <c r="AZ816" s="284">
        <v>8.1500000000000003E-2</v>
      </c>
    </row>
    <row r="817" spans="41:52" x14ac:dyDescent="0.3">
      <c r="AO817" s="62"/>
      <c r="AZ817" s="284">
        <v>8.1600000000000006E-2</v>
      </c>
    </row>
    <row r="818" spans="41:52" x14ac:dyDescent="0.3">
      <c r="AO818" s="62"/>
      <c r="AZ818" s="284">
        <v>8.1699999999999995E-2</v>
      </c>
    </row>
    <row r="819" spans="41:52" x14ac:dyDescent="0.3">
      <c r="AO819" s="62"/>
      <c r="AZ819" s="284">
        <v>8.1799999999999998E-2</v>
      </c>
    </row>
    <row r="820" spans="41:52" x14ac:dyDescent="0.3">
      <c r="AO820" s="62"/>
      <c r="AZ820" s="284">
        <v>8.1900000000000001E-2</v>
      </c>
    </row>
    <row r="821" spans="41:52" x14ac:dyDescent="0.3">
      <c r="AO821" s="62"/>
      <c r="AZ821" s="284">
        <v>8.2000000000000003E-2</v>
      </c>
    </row>
    <row r="822" spans="41:52" x14ac:dyDescent="0.3">
      <c r="AO822" s="62"/>
      <c r="AZ822" s="284">
        <v>8.2100000000000006E-2</v>
      </c>
    </row>
    <row r="823" spans="41:52" x14ac:dyDescent="0.3">
      <c r="AO823" s="62"/>
      <c r="AZ823" s="284">
        <v>8.2199999999999995E-2</v>
      </c>
    </row>
    <row r="824" spans="41:52" x14ac:dyDescent="0.3">
      <c r="AO824" s="62"/>
      <c r="AZ824" s="284">
        <v>8.2299999999999998E-2</v>
      </c>
    </row>
    <row r="825" spans="41:52" x14ac:dyDescent="0.3">
      <c r="AO825" s="62"/>
      <c r="AZ825" s="284">
        <v>8.2400000000000001E-2</v>
      </c>
    </row>
    <row r="826" spans="41:52" x14ac:dyDescent="0.3">
      <c r="AO826" s="62"/>
      <c r="AZ826" s="284">
        <v>8.2500000000000004E-2</v>
      </c>
    </row>
    <row r="827" spans="41:52" x14ac:dyDescent="0.3">
      <c r="AO827" s="62"/>
      <c r="AZ827" s="284">
        <v>8.2600000000000007E-2</v>
      </c>
    </row>
    <row r="828" spans="41:52" x14ac:dyDescent="0.3">
      <c r="AO828" s="62"/>
      <c r="AZ828" s="284">
        <v>8.2699999999999996E-2</v>
      </c>
    </row>
    <row r="829" spans="41:52" x14ac:dyDescent="0.3">
      <c r="AO829" s="62"/>
      <c r="AZ829" s="284">
        <v>8.2799999999999999E-2</v>
      </c>
    </row>
    <row r="830" spans="41:52" x14ac:dyDescent="0.3">
      <c r="AO830" s="62"/>
      <c r="AZ830" s="284">
        <v>8.2900000000000001E-2</v>
      </c>
    </row>
    <row r="831" spans="41:52" x14ac:dyDescent="0.3">
      <c r="AO831" s="62"/>
      <c r="AZ831" s="284">
        <v>8.3000000000000004E-2</v>
      </c>
    </row>
    <row r="832" spans="41:52" x14ac:dyDescent="0.3">
      <c r="AO832" s="62"/>
      <c r="AZ832" s="284">
        <v>8.3099999999999993E-2</v>
      </c>
    </row>
    <row r="833" spans="41:52" x14ac:dyDescent="0.3">
      <c r="AO833" s="62"/>
      <c r="AZ833" s="284">
        <v>8.3199999999999996E-2</v>
      </c>
    </row>
    <row r="834" spans="41:52" x14ac:dyDescent="0.3">
      <c r="AO834" s="62"/>
      <c r="AZ834" s="284">
        <v>8.3299999999999999E-2</v>
      </c>
    </row>
    <row r="835" spans="41:52" x14ac:dyDescent="0.3">
      <c r="AO835" s="62"/>
      <c r="AZ835" s="284">
        <v>8.3400000000000002E-2</v>
      </c>
    </row>
    <row r="836" spans="41:52" x14ac:dyDescent="0.3">
      <c r="AO836" s="62"/>
      <c r="AZ836" s="284">
        <v>8.3500000000000005E-2</v>
      </c>
    </row>
    <row r="837" spans="41:52" x14ac:dyDescent="0.3">
      <c r="AO837" s="62"/>
      <c r="AZ837" s="284">
        <v>8.3599999999999994E-2</v>
      </c>
    </row>
    <row r="838" spans="41:52" x14ac:dyDescent="0.3">
      <c r="AO838" s="62"/>
      <c r="AZ838" s="284">
        <v>8.3699999999999997E-2</v>
      </c>
    </row>
    <row r="839" spans="41:52" x14ac:dyDescent="0.3">
      <c r="AO839" s="62"/>
      <c r="AZ839" s="284">
        <v>8.3799999999999999E-2</v>
      </c>
    </row>
    <row r="840" spans="41:52" x14ac:dyDescent="0.3">
      <c r="AO840" s="62"/>
      <c r="AZ840" s="284">
        <v>8.3900000000000002E-2</v>
      </c>
    </row>
    <row r="841" spans="41:52" x14ac:dyDescent="0.3">
      <c r="AO841" s="62"/>
      <c r="AZ841" s="284">
        <v>8.4000000000000005E-2</v>
      </c>
    </row>
    <row r="842" spans="41:52" x14ac:dyDescent="0.3">
      <c r="AO842" s="62"/>
      <c r="AZ842" s="284">
        <v>8.4099999999999994E-2</v>
      </c>
    </row>
    <row r="843" spans="41:52" x14ac:dyDescent="0.3">
      <c r="AO843" s="62"/>
      <c r="AZ843" s="284">
        <v>8.4199999999999997E-2</v>
      </c>
    </row>
    <row r="844" spans="41:52" x14ac:dyDescent="0.3">
      <c r="AO844" s="62"/>
      <c r="AZ844" s="284">
        <v>8.43E-2</v>
      </c>
    </row>
    <row r="845" spans="41:52" x14ac:dyDescent="0.3">
      <c r="AO845" s="62"/>
      <c r="AZ845" s="284">
        <v>8.4400000000000003E-2</v>
      </c>
    </row>
    <row r="846" spans="41:52" x14ac:dyDescent="0.3">
      <c r="AO846" s="62"/>
      <c r="AZ846" s="284">
        <v>8.4500000000000006E-2</v>
      </c>
    </row>
    <row r="847" spans="41:52" x14ac:dyDescent="0.3">
      <c r="AO847" s="62"/>
      <c r="AZ847" s="284">
        <v>8.4599999999999995E-2</v>
      </c>
    </row>
    <row r="848" spans="41:52" x14ac:dyDescent="0.3">
      <c r="AO848" s="62"/>
      <c r="AZ848" s="284">
        <v>8.4699999999999998E-2</v>
      </c>
    </row>
    <row r="849" spans="41:52" x14ac:dyDescent="0.3">
      <c r="AO849" s="62"/>
      <c r="AZ849" s="284">
        <v>8.48E-2</v>
      </c>
    </row>
    <row r="850" spans="41:52" x14ac:dyDescent="0.3">
      <c r="AO850" s="62"/>
      <c r="AZ850" s="284">
        <v>8.4900000000000003E-2</v>
      </c>
    </row>
    <row r="851" spans="41:52" x14ac:dyDescent="0.3">
      <c r="AO851" s="62"/>
      <c r="AZ851" s="284">
        <v>8.5000000000000006E-2</v>
      </c>
    </row>
    <row r="852" spans="41:52" x14ac:dyDescent="0.3">
      <c r="AO852" s="62"/>
      <c r="AZ852" s="284">
        <v>8.5099999999999995E-2</v>
      </c>
    </row>
    <row r="853" spans="41:52" x14ac:dyDescent="0.3">
      <c r="AO853" s="62"/>
      <c r="AZ853" s="284">
        <v>8.5199999999999998E-2</v>
      </c>
    </row>
    <row r="854" spans="41:52" x14ac:dyDescent="0.3">
      <c r="AO854" s="62"/>
      <c r="AZ854" s="284">
        <v>8.5300000000000001E-2</v>
      </c>
    </row>
    <row r="855" spans="41:52" x14ac:dyDescent="0.3">
      <c r="AO855" s="62"/>
      <c r="AZ855" s="284">
        <v>8.5400000000000004E-2</v>
      </c>
    </row>
    <row r="856" spans="41:52" x14ac:dyDescent="0.3">
      <c r="AO856" s="62"/>
      <c r="AZ856" s="284">
        <v>8.5500000000000007E-2</v>
      </c>
    </row>
    <row r="857" spans="41:52" x14ac:dyDescent="0.3">
      <c r="AO857" s="62"/>
      <c r="AZ857" s="284">
        <v>8.5599999999999996E-2</v>
      </c>
    </row>
    <row r="858" spans="41:52" x14ac:dyDescent="0.3">
      <c r="AO858" s="62"/>
      <c r="AZ858" s="284">
        <v>8.5699999999999998E-2</v>
      </c>
    </row>
    <row r="859" spans="41:52" x14ac:dyDescent="0.3">
      <c r="AO859" s="62"/>
      <c r="AZ859" s="284">
        <v>8.5800000000000001E-2</v>
      </c>
    </row>
    <row r="860" spans="41:52" x14ac:dyDescent="0.3">
      <c r="AO860" s="62"/>
      <c r="AZ860" s="284">
        <v>8.5900000000000004E-2</v>
      </c>
    </row>
    <row r="861" spans="41:52" x14ac:dyDescent="0.3">
      <c r="AO861" s="62"/>
      <c r="AZ861" s="284">
        <v>8.5999999999999993E-2</v>
      </c>
    </row>
    <row r="862" spans="41:52" x14ac:dyDescent="0.3">
      <c r="AO862" s="62"/>
      <c r="AZ862" s="284">
        <v>8.6099999999999996E-2</v>
      </c>
    </row>
    <row r="863" spans="41:52" x14ac:dyDescent="0.3">
      <c r="AO863" s="62"/>
      <c r="AZ863" s="284">
        <v>8.6199999999999999E-2</v>
      </c>
    </row>
    <row r="864" spans="41:52" x14ac:dyDescent="0.3">
      <c r="AO864" s="62"/>
      <c r="AZ864" s="284">
        <v>8.6300000000000002E-2</v>
      </c>
    </row>
    <row r="865" spans="41:52" x14ac:dyDescent="0.3">
      <c r="AO865" s="62"/>
      <c r="AZ865" s="284">
        <v>8.6400000000000005E-2</v>
      </c>
    </row>
    <row r="866" spans="41:52" x14ac:dyDescent="0.3">
      <c r="AO866" s="62"/>
      <c r="AZ866" s="284">
        <v>8.6499999999999994E-2</v>
      </c>
    </row>
    <row r="867" spans="41:52" x14ac:dyDescent="0.3">
      <c r="AO867" s="62"/>
      <c r="AZ867" s="284">
        <v>8.6599999999999996E-2</v>
      </c>
    </row>
    <row r="868" spans="41:52" x14ac:dyDescent="0.3">
      <c r="AO868" s="62"/>
      <c r="AZ868" s="284">
        <v>8.6699999999999999E-2</v>
      </c>
    </row>
    <row r="869" spans="41:52" x14ac:dyDescent="0.3">
      <c r="AO869" s="62"/>
      <c r="AZ869" s="284">
        <v>8.6800000000000002E-2</v>
      </c>
    </row>
    <row r="870" spans="41:52" x14ac:dyDescent="0.3">
      <c r="AO870" s="62"/>
      <c r="AZ870" s="284">
        <v>8.6900000000000005E-2</v>
      </c>
    </row>
    <row r="871" spans="41:52" x14ac:dyDescent="0.3">
      <c r="AO871" s="62"/>
      <c r="AZ871" s="284">
        <v>8.6999999999999994E-2</v>
      </c>
    </row>
    <row r="872" spans="41:52" x14ac:dyDescent="0.3">
      <c r="AO872" s="62"/>
      <c r="AZ872" s="284">
        <v>8.7099999999999997E-2</v>
      </c>
    </row>
    <row r="873" spans="41:52" x14ac:dyDescent="0.3">
      <c r="AO873" s="62"/>
      <c r="AZ873" s="284">
        <v>8.72E-2</v>
      </c>
    </row>
    <row r="874" spans="41:52" x14ac:dyDescent="0.3">
      <c r="AO874" s="62"/>
      <c r="AZ874" s="284">
        <v>8.7300000000000003E-2</v>
      </c>
    </row>
    <row r="875" spans="41:52" x14ac:dyDescent="0.3">
      <c r="AO875" s="62"/>
      <c r="AZ875" s="284">
        <v>8.7400000000000005E-2</v>
      </c>
    </row>
    <row r="876" spans="41:52" x14ac:dyDescent="0.3">
      <c r="AO876" s="62"/>
      <c r="AZ876" s="284">
        <v>8.7499999999999994E-2</v>
      </c>
    </row>
    <row r="877" spans="41:52" x14ac:dyDescent="0.3">
      <c r="AO877" s="62"/>
      <c r="AZ877" s="284">
        <v>8.7599999999999997E-2</v>
      </c>
    </row>
    <row r="878" spans="41:52" x14ac:dyDescent="0.3">
      <c r="AO878" s="62"/>
      <c r="AZ878" s="284">
        <v>8.77E-2</v>
      </c>
    </row>
    <row r="879" spans="41:52" x14ac:dyDescent="0.3">
      <c r="AO879" s="62"/>
      <c r="AZ879" s="284">
        <v>8.7800000000000003E-2</v>
      </c>
    </row>
    <row r="880" spans="41:52" x14ac:dyDescent="0.3">
      <c r="AO880" s="62"/>
      <c r="AZ880" s="284">
        <v>8.7900000000000006E-2</v>
      </c>
    </row>
    <row r="881" spans="41:52" x14ac:dyDescent="0.3">
      <c r="AO881" s="62"/>
      <c r="AZ881" s="284">
        <v>8.7999999999999995E-2</v>
      </c>
    </row>
    <row r="882" spans="41:52" x14ac:dyDescent="0.3">
      <c r="AO882" s="62"/>
      <c r="AZ882" s="284">
        <v>8.8099999999999998E-2</v>
      </c>
    </row>
    <row r="883" spans="41:52" x14ac:dyDescent="0.3">
      <c r="AO883" s="62"/>
      <c r="AZ883" s="284">
        <v>8.8200000000000001E-2</v>
      </c>
    </row>
    <row r="884" spans="41:52" x14ac:dyDescent="0.3">
      <c r="AO884" s="62"/>
      <c r="AZ884" s="284">
        <v>8.8300000000000003E-2</v>
      </c>
    </row>
    <row r="885" spans="41:52" x14ac:dyDescent="0.3">
      <c r="AO885" s="62"/>
      <c r="AZ885" s="284">
        <v>8.8400000000000006E-2</v>
      </c>
    </row>
    <row r="886" spans="41:52" x14ac:dyDescent="0.3">
      <c r="AO886" s="62"/>
      <c r="AZ886" s="284">
        <v>8.8499999999999995E-2</v>
      </c>
    </row>
    <row r="887" spans="41:52" x14ac:dyDescent="0.3">
      <c r="AO887" s="62"/>
      <c r="AZ887" s="284">
        <v>8.8599999999999998E-2</v>
      </c>
    </row>
    <row r="888" spans="41:52" x14ac:dyDescent="0.3">
      <c r="AO888" s="62"/>
      <c r="AZ888" s="284">
        <v>8.8700000000000001E-2</v>
      </c>
    </row>
    <row r="889" spans="41:52" x14ac:dyDescent="0.3">
      <c r="AO889" s="62"/>
      <c r="AZ889" s="284">
        <v>8.8800000000000004E-2</v>
      </c>
    </row>
    <row r="890" spans="41:52" x14ac:dyDescent="0.3">
      <c r="AO890" s="62"/>
      <c r="AZ890" s="284">
        <v>8.8900000000000007E-2</v>
      </c>
    </row>
    <row r="891" spans="41:52" x14ac:dyDescent="0.3">
      <c r="AO891" s="62"/>
      <c r="AZ891" s="284">
        <v>8.8999999999999996E-2</v>
      </c>
    </row>
    <row r="892" spans="41:52" x14ac:dyDescent="0.3">
      <c r="AO892" s="62"/>
      <c r="AZ892" s="284">
        <v>8.9099999999999999E-2</v>
      </c>
    </row>
    <row r="893" spans="41:52" x14ac:dyDescent="0.3">
      <c r="AO893" s="62"/>
      <c r="AZ893" s="284">
        <v>8.9200000000000002E-2</v>
      </c>
    </row>
    <row r="894" spans="41:52" x14ac:dyDescent="0.3">
      <c r="AO894" s="62"/>
      <c r="AZ894" s="284">
        <v>8.9300000000000004E-2</v>
      </c>
    </row>
    <row r="895" spans="41:52" x14ac:dyDescent="0.3">
      <c r="AO895" s="62"/>
      <c r="AZ895" s="284">
        <v>8.9399999999999993E-2</v>
      </c>
    </row>
    <row r="896" spans="41:52" x14ac:dyDescent="0.3">
      <c r="AO896" s="62"/>
      <c r="AZ896" s="284">
        <v>8.9499999999999996E-2</v>
      </c>
    </row>
    <row r="897" spans="41:52" x14ac:dyDescent="0.3">
      <c r="AO897" s="62"/>
      <c r="AZ897" s="284">
        <v>8.9599999999999999E-2</v>
      </c>
    </row>
    <row r="898" spans="41:52" x14ac:dyDescent="0.3">
      <c r="AO898" s="62"/>
      <c r="AZ898" s="284">
        <v>8.9700000000000002E-2</v>
      </c>
    </row>
    <row r="899" spans="41:52" x14ac:dyDescent="0.3">
      <c r="AO899" s="62"/>
      <c r="AZ899" s="284">
        <v>8.9800000000000005E-2</v>
      </c>
    </row>
    <row r="900" spans="41:52" x14ac:dyDescent="0.3">
      <c r="AO900" s="62"/>
      <c r="AZ900" s="284">
        <v>8.9899999999999994E-2</v>
      </c>
    </row>
    <row r="901" spans="41:52" x14ac:dyDescent="0.3">
      <c r="AO901" s="62"/>
      <c r="AZ901" s="284">
        <v>0.09</v>
      </c>
    </row>
    <row r="902" spans="41:52" x14ac:dyDescent="0.3">
      <c r="AO902" s="62"/>
      <c r="AZ902" s="284">
        <v>9.01E-2</v>
      </c>
    </row>
    <row r="903" spans="41:52" x14ac:dyDescent="0.3">
      <c r="AO903" s="62"/>
      <c r="AZ903" s="284">
        <v>9.0200000000000002E-2</v>
      </c>
    </row>
    <row r="904" spans="41:52" x14ac:dyDescent="0.3">
      <c r="AO904" s="62"/>
      <c r="AZ904" s="284">
        <v>9.0300000000000005E-2</v>
      </c>
    </row>
    <row r="905" spans="41:52" x14ac:dyDescent="0.3">
      <c r="AO905" s="62"/>
      <c r="AZ905" s="284">
        <v>9.0399999999999994E-2</v>
      </c>
    </row>
    <row r="906" spans="41:52" x14ac:dyDescent="0.3">
      <c r="AO906" s="62"/>
      <c r="AZ906" s="284">
        <v>9.0499999999999997E-2</v>
      </c>
    </row>
    <row r="907" spans="41:52" x14ac:dyDescent="0.3">
      <c r="AO907" s="62"/>
      <c r="AZ907" s="284">
        <v>9.06E-2</v>
      </c>
    </row>
    <row r="908" spans="41:52" x14ac:dyDescent="0.3">
      <c r="AO908" s="62"/>
      <c r="AZ908" s="284">
        <v>9.0700000000000003E-2</v>
      </c>
    </row>
    <row r="909" spans="41:52" x14ac:dyDescent="0.3">
      <c r="AO909" s="62"/>
      <c r="AZ909" s="284">
        <v>9.0800000000000006E-2</v>
      </c>
    </row>
    <row r="910" spans="41:52" x14ac:dyDescent="0.3">
      <c r="AO910" s="62"/>
      <c r="AZ910" s="284">
        <v>9.0899999999999995E-2</v>
      </c>
    </row>
    <row r="911" spans="41:52" x14ac:dyDescent="0.3">
      <c r="AO911" s="62"/>
      <c r="AZ911" s="284">
        <v>9.0999999999999998E-2</v>
      </c>
    </row>
    <row r="912" spans="41:52" x14ac:dyDescent="0.3">
      <c r="AO912" s="62"/>
      <c r="AZ912" s="284">
        <v>9.11E-2</v>
      </c>
    </row>
    <row r="913" spans="41:52" x14ac:dyDescent="0.3">
      <c r="AO913" s="62"/>
      <c r="AZ913" s="284">
        <v>9.1200000000000003E-2</v>
      </c>
    </row>
    <row r="914" spans="41:52" x14ac:dyDescent="0.3">
      <c r="AO914" s="62"/>
      <c r="AZ914" s="284">
        <v>9.1300000000000006E-2</v>
      </c>
    </row>
    <row r="915" spans="41:52" x14ac:dyDescent="0.3">
      <c r="AO915" s="62"/>
      <c r="AZ915" s="284">
        <v>9.1399999999999995E-2</v>
      </c>
    </row>
    <row r="916" spans="41:52" x14ac:dyDescent="0.3">
      <c r="AO916" s="62"/>
      <c r="AZ916" s="284">
        <v>9.1499999999999998E-2</v>
      </c>
    </row>
    <row r="917" spans="41:52" x14ac:dyDescent="0.3">
      <c r="AO917" s="62"/>
      <c r="AZ917" s="284">
        <v>9.1600000000000001E-2</v>
      </c>
    </row>
    <row r="918" spans="41:52" x14ac:dyDescent="0.3">
      <c r="AO918" s="62"/>
      <c r="AZ918" s="284">
        <v>9.1700000000000004E-2</v>
      </c>
    </row>
    <row r="919" spans="41:52" x14ac:dyDescent="0.3">
      <c r="AO919" s="62"/>
      <c r="AZ919" s="284">
        <v>9.1800000000000007E-2</v>
      </c>
    </row>
    <row r="920" spans="41:52" x14ac:dyDescent="0.3">
      <c r="AO920" s="62"/>
      <c r="AZ920" s="284">
        <v>9.1899999999999996E-2</v>
      </c>
    </row>
    <row r="921" spans="41:52" x14ac:dyDescent="0.3">
      <c r="AO921" s="62"/>
      <c r="AZ921" s="284">
        <v>9.1999999999999998E-2</v>
      </c>
    </row>
    <row r="922" spans="41:52" x14ac:dyDescent="0.3">
      <c r="AO922" s="62"/>
      <c r="AZ922" s="284">
        <v>9.2100000000000001E-2</v>
      </c>
    </row>
    <row r="923" spans="41:52" x14ac:dyDescent="0.3">
      <c r="AO923" s="62"/>
      <c r="AZ923" s="284">
        <v>9.2200000000000004E-2</v>
      </c>
    </row>
    <row r="924" spans="41:52" x14ac:dyDescent="0.3">
      <c r="AO924" s="62"/>
      <c r="AZ924" s="284">
        <v>9.2299999999999993E-2</v>
      </c>
    </row>
    <row r="925" spans="41:52" x14ac:dyDescent="0.3">
      <c r="AO925" s="62"/>
      <c r="AZ925" s="284">
        <v>9.2399999999999996E-2</v>
      </c>
    </row>
    <row r="926" spans="41:52" x14ac:dyDescent="0.3">
      <c r="AO926" s="62"/>
      <c r="AZ926" s="284">
        <v>9.2499999999999999E-2</v>
      </c>
    </row>
    <row r="927" spans="41:52" x14ac:dyDescent="0.3">
      <c r="AO927" s="62"/>
      <c r="AZ927" s="284">
        <v>9.2600000000000002E-2</v>
      </c>
    </row>
    <row r="928" spans="41:52" x14ac:dyDescent="0.3">
      <c r="AO928" s="62"/>
      <c r="AZ928" s="284">
        <v>9.2700000000000005E-2</v>
      </c>
    </row>
    <row r="929" spans="41:52" x14ac:dyDescent="0.3">
      <c r="AO929" s="62"/>
      <c r="AZ929" s="284">
        <v>9.2799999999999994E-2</v>
      </c>
    </row>
    <row r="930" spans="41:52" x14ac:dyDescent="0.3">
      <c r="AO930" s="62"/>
      <c r="AZ930" s="284">
        <v>9.2899999999999996E-2</v>
      </c>
    </row>
    <row r="931" spans="41:52" x14ac:dyDescent="0.3">
      <c r="AO931" s="62"/>
      <c r="AZ931" s="284">
        <v>9.2999999999999999E-2</v>
      </c>
    </row>
    <row r="932" spans="41:52" x14ac:dyDescent="0.3">
      <c r="AO932" s="62"/>
      <c r="AZ932" s="284">
        <v>9.3100000000000002E-2</v>
      </c>
    </row>
    <row r="933" spans="41:52" x14ac:dyDescent="0.3">
      <c r="AO933" s="62"/>
      <c r="AZ933" s="284">
        <v>9.3200000000000005E-2</v>
      </c>
    </row>
    <row r="934" spans="41:52" x14ac:dyDescent="0.3">
      <c r="AO934" s="62"/>
      <c r="AZ934" s="284">
        <v>9.3299999999999994E-2</v>
      </c>
    </row>
    <row r="935" spans="41:52" x14ac:dyDescent="0.3">
      <c r="AO935" s="62"/>
      <c r="AZ935" s="284">
        <v>9.3399999999999997E-2</v>
      </c>
    </row>
    <row r="936" spans="41:52" x14ac:dyDescent="0.3">
      <c r="AO936" s="62"/>
      <c r="AZ936" s="284">
        <v>9.35E-2</v>
      </c>
    </row>
    <row r="937" spans="41:52" x14ac:dyDescent="0.3">
      <c r="AO937" s="62"/>
      <c r="AZ937" s="284">
        <v>9.3600000000000003E-2</v>
      </c>
    </row>
    <row r="938" spans="41:52" x14ac:dyDescent="0.3">
      <c r="AO938" s="62"/>
      <c r="AZ938" s="284">
        <v>9.3700000000000006E-2</v>
      </c>
    </row>
    <row r="939" spans="41:52" x14ac:dyDescent="0.3">
      <c r="AO939" s="62"/>
      <c r="AZ939" s="284">
        <v>9.3799999999999994E-2</v>
      </c>
    </row>
    <row r="940" spans="41:52" x14ac:dyDescent="0.3">
      <c r="AO940" s="62"/>
      <c r="AZ940" s="284">
        <v>9.3899999999999997E-2</v>
      </c>
    </row>
    <row r="941" spans="41:52" x14ac:dyDescent="0.3">
      <c r="AO941" s="62"/>
      <c r="AZ941" s="284">
        <v>9.4E-2</v>
      </c>
    </row>
    <row r="942" spans="41:52" x14ac:dyDescent="0.3">
      <c r="AO942" s="62"/>
      <c r="AZ942" s="284">
        <v>9.4100000000000003E-2</v>
      </c>
    </row>
    <row r="943" spans="41:52" x14ac:dyDescent="0.3">
      <c r="AO943" s="62"/>
      <c r="AZ943" s="284">
        <v>9.4200000000000006E-2</v>
      </c>
    </row>
    <row r="944" spans="41:52" x14ac:dyDescent="0.3">
      <c r="AO944" s="62"/>
      <c r="AZ944" s="284">
        <v>9.4299999999999995E-2</v>
      </c>
    </row>
    <row r="945" spans="41:52" x14ac:dyDescent="0.3">
      <c r="AO945" s="62"/>
      <c r="AZ945" s="284">
        <v>9.4399999999999998E-2</v>
      </c>
    </row>
    <row r="946" spans="41:52" x14ac:dyDescent="0.3">
      <c r="AO946" s="62"/>
      <c r="AZ946" s="284">
        <v>9.4500000000000001E-2</v>
      </c>
    </row>
    <row r="947" spans="41:52" x14ac:dyDescent="0.3">
      <c r="AO947" s="62"/>
      <c r="AZ947" s="284">
        <v>9.4600000000000004E-2</v>
      </c>
    </row>
    <row r="948" spans="41:52" x14ac:dyDescent="0.3">
      <c r="AO948" s="62"/>
      <c r="AZ948" s="284">
        <v>9.4700000000000006E-2</v>
      </c>
    </row>
    <row r="949" spans="41:52" x14ac:dyDescent="0.3">
      <c r="AO949" s="62"/>
      <c r="AZ949" s="284">
        <v>9.4799999999999995E-2</v>
      </c>
    </row>
    <row r="950" spans="41:52" x14ac:dyDescent="0.3">
      <c r="AO950" s="62"/>
      <c r="AZ950" s="284">
        <v>9.4899999999999998E-2</v>
      </c>
    </row>
    <row r="951" spans="41:52" x14ac:dyDescent="0.3">
      <c r="AO951" s="62"/>
      <c r="AZ951" s="284">
        <v>9.5000000000000001E-2</v>
      </c>
    </row>
    <row r="952" spans="41:52" x14ac:dyDescent="0.3">
      <c r="AO952" s="62"/>
      <c r="AZ952" s="284">
        <v>9.5100000000000004E-2</v>
      </c>
    </row>
    <row r="953" spans="41:52" x14ac:dyDescent="0.3">
      <c r="AO953" s="62"/>
      <c r="AZ953" s="284">
        <v>9.5200000000000007E-2</v>
      </c>
    </row>
    <row r="954" spans="41:52" x14ac:dyDescent="0.3">
      <c r="AO954" s="62"/>
      <c r="AZ954" s="284">
        <v>9.5299999999999996E-2</v>
      </c>
    </row>
    <row r="955" spans="41:52" x14ac:dyDescent="0.3">
      <c r="AO955" s="62"/>
      <c r="AZ955" s="284">
        <v>9.5399999999999999E-2</v>
      </c>
    </row>
    <row r="956" spans="41:52" x14ac:dyDescent="0.3">
      <c r="AO956" s="62"/>
      <c r="AZ956" s="284">
        <v>9.5500000000000002E-2</v>
      </c>
    </row>
    <row r="957" spans="41:52" x14ac:dyDescent="0.3">
      <c r="AO957" s="62"/>
      <c r="AZ957" s="284">
        <v>9.5600000000000004E-2</v>
      </c>
    </row>
    <row r="958" spans="41:52" x14ac:dyDescent="0.3">
      <c r="AO958" s="62"/>
      <c r="AZ958" s="284">
        <v>9.5699999999999993E-2</v>
      </c>
    </row>
    <row r="959" spans="41:52" x14ac:dyDescent="0.3">
      <c r="AO959" s="62"/>
      <c r="AZ959" s="284">
        <v>9.5799999999999996E-2</v>
      </c>
    </row>
    <row r="960" spans="41:52" x14ac:dyDescent="0.3">
      <c r="AO960" s="62"/>
      <c r="AZ960" s="284">
        <v>9.5899999999999999E-2</v>
      </c>
    </row>
    <row r="961" spans="41:52" x14ac:dyDescent="0.3">
      <c r="AO961" s="62"/>
      <c r="AZ961" s="284">
        <v>9.6000000000000002E-2</v>
      </c>
    </row>
    <row r="962" spans="41:52" x14ac:dyDescent="0.3">
      <c r="AO962" s="62"/>
      <c r="AZ962" s="284">
        <v>9.6100000000000005E-2</v>
      </c>
    </row>
    <row r="963" spans="41:52" x14ac:dyDescent="0.3">
      <c r="AO963" s="62"/>
      <c r="AZ963" s="284">
        <v>9.6199999999999994E-2</v>
      </c>
    </row>
    <row r="964" spans="41:52" x14ac:dyDescent="0.3">
      <c r="AO964" s="62"/>
      <c r="AZ964" s="284">
        <v>9.6299999999999997E-2</v>
      </c>
    </row>
    <row r="965" spans="41:52" x14ac:dyDescent="0.3">
      <c r="AO965" s="62"/>
      <c r="AZ965" s="284">
        <v>9.64E-2</v>
      </c>
    </row>
    <row r="966" spans="41:52" x14ac:dyDescent="0.3">
      <c r="AO966" s="62"/>
      <c r="AZ966" s="284">
        <v>9.6500000000000002E-2</v>
      </c>
    </row>
    <row r="967" spans="41:52" x14ac:dyDescent="0.3">
      <c r="AO967" s="62"/>
      <c r="AZ967" s="284">
        <v>9.6600000000000005E-2</v>
      </c>
    </row>
    <row r="968" spans="41:52" x14ac:dyDescent="0.3">
      <c r="AO968" s="62"/>
      <c r="AZ968" s="284">
        <v>9.6699999999999994E-2</v>
      </c>
    </row>
    <row r="969" spans="41:52" x14ac:dyDescent="0.3">
      <c r="AO969" s="62"/>
      <c r="AZ969" s="284">
        <v>9.6799999999999997E-2</v>
      </c>
    </row>
    <row r="970" spans="41:52" x14ac:dyDescent="0.3">
      <c r="AO970" s="62"/>
      <c r="AZ970" s="284">
        <v>9.69E-2</v>
      </c>
    </row>
    <row r="971" spans="41:52" x14ac:dyDescent="0.3">
      <c r="AO971" s="62"/>
      <c r="AZ971" s="284">
        <v>9.7000000000000003E-2</v>
      </c>
    </row>
    <row r="972" spans="41:52" x14ac:dyDescent="0.3">
      <c r="AO972" s="62"/>
      <c r="AZ972" s="284">
        <v>9.7100000000000006E-2</v>
      </c>
    </row>
    <row r="973" spans="41:52" x14ac:dyDescent="0.3">
      <c r="AO973" s="62"/>
      <c r="AZ973" s="284">
        <v>9.7199999999999995E-2</v>
      </c>
    </row>
    <row r="974" spans="41:52" x14ac:dyDescent="0.3">
      <c r="AO974" s="62"/>
      <c r="AZ974" s="284">
        <v>9.7299999999999998E-2</v>
      </c>
    </row>
    <row r="975" spans="41:52" x14ac:dyDescent="0.3">
      <c r="AO975" s="62"/>
      <c r="AZ975" s="284">
        <v>9.74E-2</v>
      </c>
    </row>
    <row r="976" spans="41:52" x14ac:dyDescent="0.3">
      <c r="AO976" s="62"/>
      <c r="AZ976" s="284">
        <v>9.7500000000000003E-2</v>
      </c>
    </row>
    <row r="977" spans="41:52" x14ac:dyDescent="0.3">
      <c r="AO977" s="62"/>
      <c r="AZ977" s="284">
        <v>9.7600000000000006E-2</v>
      </c>
    </row>
    <row r="978" spans="41:52" x14ac:dyDescent="0.3">
      <c r="AO978" s="62"/>
      <c r="AZ978" s="284">
        <v>9.7699999999999995E-2</v>
      </c>
    </row>
    <row r="979" spans="41:52" x14ac:dyDescent="0.3">
      <c r="AO979" s="62"/>
      <c r="AZ979" s="284">
        <v>9.7799999999999998E-2</v>
      </c>
    </row>
    <row r="980" spans="41:52" x14ac:dyDescent="0.3">
      <c r="AO980" s="62"/>
      <c r="AZ980" s="284">
        <v>9.7900000000000001E-2</v>
      </c>
    </row>
    <row r="981" spans="41:52" x14ac:dyDescent="0.3">
      <c r="AO981" s="62"/>
      <c r="AZ981" s="284">
        <v>9.8000000000000004E-2</v>
      </c>
    </row>
    <row r="982" spans="41:52" x14ac:dyDescent="0.3">
      <c r="AO982" s="62"/>
      <c r="AZ982" s="284">
        <v>9.8100000000000007E-2</v>
      </c>
    </row>
    <row r="983" spans="41:52" x14ac:dyDescent="0.3">
      <c r="AO983" s="62"/>
      <c r="AZ983" s="284">
        <v>9.8199999999999996E-2</v>
      </c>
    </row>
    <row r="984" spans="41:52" x14ac:dyDescent="0.3">
      <c r="AO984" s="62"/>
      <c r="AZ984" s="284">
        <v>9.8299999999999998E-2</v>
      </c>
    </row>
    <row r="985" spans="41:52" x14ac:dyDescent="0.3">
      <c r="AO985" s="62"/>
      <c r="AZ985" s="284">
        <v>9.8400000000000001E-2</v>
      </c>
    </row>
    <row r="986" spans="41:52" x14ac:dyDescent="0.3">
      <c r="AO986" s="62"/>
      <c r="AZ986" s="284">
        <v>9.8500000000000004E-2</v>
      </c>
    </row>
    <row r="987" spans="41:52" x14ac:dyDescent="0.3">
      <c r="AO987" s="62"/>
      <c r="AZ987" s="284">
        <v>9.8599999999999993E-2</v>
      </c>
    </row>
    <row r="988" spans="41:52" x14ac:dyDescent="0.3">
      <c r="AO988" s="62"/>
      <c r="AZ988" s="284">
        <v>9.8699999999999996E-2</v>
      </c>
    </row>
    <row r="989" spans="41:52" x14ac:dyDescent="0.3">
      <c r="AO989" s="62"/>
      <c r="AZ989" s="284">
        <v>9.8799999999999999E-2</v>
      </c>
    </row>
    <row r="990" spans="41:52" x14ac:dyDescent="0.3">
      <c r="AO990" s="62"/>
      <c r="AZ990" s="284">
        <v>9.8900000000000002E-2</v>
      </c>
    </row>
    <row r="991" spans="41:52" x14ac:dyDescent="0.3">
      <c r="AO991" s="62"/>
      <c r="AZ991" s="284">
        <v>9.9000000000000005E-2</v>
      </c>
    </row>
    <row r="992" spans="41:52" x14ac:dyDescent="0.3">
      <c r="AO992" s="62"/>
      <c r="AZ992" s="284">
        <v>9.9099999999999994E-2</v>
      </c>
    </row>
    <row r="993" spans="41:52" x14ac:dyDescent="0.3">
      <c r="AO993" s="62"/>
      <c r="AZ993" s="284">
        <v>9.9199999999999997E-2</v>
      </c>
    </row>
    <row r="994" spans="41:52" x14ac:dyDescent="0.3">
      <c r="AO994" s="62"/>
      <c r="AZ994" s="284">
        <v>9.9299999999999999E-2</v>
      </c>
    </row>
    <row r="995" spans="41:52" x14ac:dyDescent="0.3">
      <c r="AO995" s="62"/>
      <c r="AZ995" s="284">
        <v>9.9400000000000002E-2</v>
      </c>
    </row>
    <row r="996" spans="41:52" x14ac:dyDescent="0.3">
      <c r="AO996" s="62"/>
      <c r="AZ996" s="284">
        <v>9.9500000000000005E-2</v>
      </c>
    </row>
    <row r="997" spans="41:52" x14ac:dyDescent="0.3">
      <c r="AO997" s="62"/>
      <c r="AZ997" s="284">
        <v>9.9599999999999994E-2</v>
      </c>
    </row>
    <row r="998" spans="41:52" x14ac:dyDescent="0.3">
      <c r="AO998" s="62"/>
      <c r="AZ998" s="284">
        <v>9.9699999999999997E-2</v>
      </c>
    </row>
    <row r="999" spans="41:52" x14ac:dyDescent="0.3">
      <c r="AO999" s="62"/>
      <c r="AZ999" s="284">
        <v>9.98E-2</v>
      </c>
    </row>
    <row r="1000" spans="41:52" x14ac:dyDescent="0.3">
      <c r="AO1000" s="62"/>
      <c r="AZ1000" s="284">
        <v>9.9900000000000003E-2</v>
      </c>
    </row>
    <row r="1001" spans="41:52" x14ac:dyDescent="0.3">
      <c r="AO1001" s="62"/>
      <c r="AZ1001" s="284">
        <v>0.1</v>
      </c>
    </row>
    <row r="1002" spans="41:52" x14ac:dyDescent="0.3">
      <c r="AO1002" s="62"/>
      <c r="AZ1002" s="284">
        <v>0.10009999999999999</v>
      </c>
    </row>
    <row r="1003" spans="41:52" x14ac:dyDescent="0.3">
      <c r="AO1003" s="62"/>
      <c r="AZ1003" s="284">
        <v>0.1002</v>
      </c>
    </row>
    <row r="1004" spans="41:52" x14ac:dyDescent="0.3">
      <c r="AO1004" s="62"/>
      <c r="AZ1004" s="284">
        <v>0.1003</v>
      </c>
    </row>
    <row r="1005" spans="41:52" x14ac:dyDescent="0.3">
      <c r="AO1005" s="62"/>
      <c r="AZ1005" s="284">
        <v>0.1004</v>
      </c>
    </row>
    <row r="1006" spans="41:52" x14ac:dyDescent="0.3">
      <c r="AO1006" s="62"/>
      <c r="AZ1006" s="284">
        <v>0.10050000000000001</v>
      </c>
    </row>
    <row r="1007" spans="41:52" x14ac:dyDescent="0.3">
      <c r="AO1007" s="62"/>
      <c r="AZ1007" s="284">
        <v>0.10059999999999999</v>
      </c>
    </row>
    <row r="1008" spans="41:52" x14ac:dyDescent="0.3">
      <c r="AO1008" s="62"/>
      <c r="AZ1008" s="284">
        <v>0.1007</v>
      </c>
    </row>
    <row r="1009" spans="41:52" x14ac:dyDescent="0.3">
      <c r="AO1009" s="62"/>
      <c r="AZ1009" s="284">
        <v>0.1008</v>
      </c>
    </row>
    <row r="1010" spans="41:52" x14ac:dyDescent="0.3">
      <c r="AO1010" s="62"/>
      <c r="AZ1010" s="284">
        <v>0.1009</v>
      </c>
    </row>
    <row r="1011" spans="41:52" x14ac:dyDescent="0.3">
      <c r="AO1011" s="62"/>
      <c r="AZ1011" s="284">
        <v>0.10100000000000001</v>
      </c>
    </row>
    <row r="1012" spans="41:52" x14ac:dyDescent="0.3">
      <c r="AO1012" s="62"/>
      <c r="AZ1012" s="284">
        <v>0.1011</v>
      </c>
    </row>
    <row r="1013" spans="41:52" x14ac:dyDescent="0.3">
      <c r="AO1013" s="62"/>
      <c r="AZ1013" s="284">
        <v>0.1012</v>
      </c>
    </row>
    <row r="1014" spans="41:52" x14ac:dyDescent="0.3">
      <c r="AO1014" s="62"/>
      <c r="AZ1014" s="284">
        <v>0.1013</v>
      </c>
    </row>
    <row r="1015" spans="41:52" x14ac:dyDescent="0.3">
      <c r="AO1015" s="62"/>
      <c r="AZ1015" s="284">
        <v>0.1014</v>
      </c>
    </row>
    <row r="1016" spans="41:52" x14ac:dyDescent="0.3">
      <c r="AO1016" s="62"/>
      <c r="AZ1016" s="284">
        <v>0.10150000000000001</v>
      </c>
    </row>
    <row r="1017" spans="41:52" x14ac:dyDescent="0.3">
      <c r="AO1017" s="62"/>
      <c r="AZ1017" s="284">
        <v>0.1016</v>
      </c>
    </row>
    <row r="1018" spans="41:52" x14ac:dyDescent="0.3">
      <c r="AO1018" s="62"/>
      <c r="AZ1018" s="284">
        <v>0.1017</v>
      </c>
    </row>
    <row r="1019" spans="41:52" x14ac:dyDescent="0.3">
      <c r="AO1019" s="62"/>
      <c r="AZ1019" s="284">
        <v>0.1018</v>
      </c>
    </row>
    <row r="1020" spans="41:52" x14ac:dyDescent="0.3">
      <c r="AO1020" s="62"/>
      <c r="AZ1020" s="284">
        <v>0.1019</v>
      </c>
    </row>
    <row r="1021" spans="41:52" x14ac:dyDescent="0.3">
      <c r="AO1021" s="62"/>
      <c r="AZ1021" s="284">
        <v>0.10199999999999999</v>
      </c>
    </row>
    <row r="1022" spans="41:52" x14ac:dyDescent="0.3">
      <c r="AO1022" s="62"/>
      <c r="AZ1022" s="284">
        <v>0.1021</v>
      </c>
    </row>
    <row r="1023" spans="41:52" x14ac:dyDescent="0.3">
      <c r="AO1023" s="62"/>
      <c r="AZ1023" s="284">
        <v>0.1022</v>
      </c>
    </row>
    <row r="1024" spans="41:52" x14ac:dyDescent="0.3">
      <c r="AO1024" s="62"/>
      <c r="AZ1024" s="284">
        <v>0.1023</v>
      </c>
    </row>
    <row r="1025" spans="41:52" x14ac:dyDescent="0.3">
      <c r="AO1025" s="62"/>
      <c r="AZ1025" s="284">
        <v>0.1024</v>
      </c>
    </row>
    <row r="1026" spans="41:52" x14ac:dyDescent="0.3">
      <c r="AO1026" s="62"/>
      <c r="AZ1026" s="284">
        <v>0.10249999999999999</v>
      </c>
    </row>
    <row r="1027" spans="41:52" x14ac:dyDescent="0.3">
      <c r="AO1027" s="62"/>
      <c r="AZ1027" s="284">
        <v>0.1026</v>
      </c>
    </row>
    <row r="1028" spans="41:52" x14ac:dyDescent="0.3">
      <c r="AO1028" s="62"/>
      <c r="AZ1028" s="284">
        <v>0.1027</v>
      </c>
    </row>
    <row r="1029" spans="41:52" x14ac:dyDescent="0.3">
      <c r="AO1029" s="62"/>
      <c r="AZ1029" s="284">
        <v>0.1028</v>
      </c>
    </row>
    <row r="1030" spans="41:52" x14ac:dyDescent="0.3">
      <c r="AO1030" s="62"/>
      <c r="AZ1030" s="284">
        <v>0.10290000000000001</v>
      </c>
    </row>
    <row r="1031" spans="41:52" x14ac:dyDescent="0.3">
      <c r="AO1031" s="62"/>
      <c r="AZ1031" s="284">
        <v>0.10299999999999999</v>
      </c>
    </row>
    <row r="1032" spans="41:52" x14ac:dyDescent="0.3">
      <c r="AO1032" s="62"/>
      <c r="AZ1032" s="284">
        <v>0.1031</v>
      </c>
    </row>
    <row r="1033" spans="41:52" x14ac:dyDescent="0.3">
      <c r="AO1033" s="62"/>
      <c r="AZ1033" s="284">
        <v>0.1032</v>
      </c>
    </row>
    <row r="1034" spans="41:52" x14ac:dyDescent="0.3">
      <c r="AO1034" s="62"/>
      <c r="AZ1034" s="284">
        <v>0.1033</v>
      </c>
    </row>
    <row r="1035" spans="41:52" x14ac:dyDescent="0.3">
      <c r="AO1035" s="62"/>
      <c r="AZ1035" s="284">
        <v>0.10340000000000001</v>
      </c>
    </row>
    <row r="1036" spans="41:52" x14ac:dyDescent="0.3">
      <c r="AO1036" s="62"/>
      <c r="AZ1036" s="284">
        <v>0.10349999999999999</v>
      </c>
    </row>
    <row r="1037" spans="41:52" x14ac:dyDescent="0.3">
      <c r="AO1037" s="62"/>
      <c r="AZ1037" s="284">
        <v>0.1036</v>
      </c>
    </row>
    <row r="1038" spans="41:52" x14ac:dyDescent="0.3">
      <c r="AO1038" s="62"/>
      <c r="AZ1038" s="284">
        <v>0.1037</v>
      </c>
    </row>
    <row r="1039" spans="41:52" x14ac:dyDescent="0.3">
      <c r="AO1039" s="62"/>
      <c r="AZ1039" s="284">
        <v>0.1038</v>
      </c>
    </row>
    <row r="1040" spans="41:52" x14ac:dyDescent="0.3">
      <c r="AO1040" s="62"/>
      <c r="AZ1040" s="284">
        <v>0.10390000000000001</v>
      </c>
    </row>
    <row r="1041" spans="41:52" x14ac:dyDescent="0.3">
      <c r="AO1041" s="62"/>
      <c r="AZ1041" s="284">
        <v>0.104</v>
      </c>
    </row>
    <row r="1042" spans="41:52" x14ac:dyDescent="0.3">
      <c r="AO1042" s="62"/>
      <c r="AZ1042" s="284">
        <v>0.1041</v>
      </c>
    </row>
    <row r="1043" spans="41:52" x14ac:dyDescent="0.3">
      <c r="AO1043" s="62"/>
      <c r="AZ1043" s="284">
        <v>0.1042</v>
      </c>
    </row>
    <row r="1044" spans="41:52" x14ac:dyDescent="0.3">
      <c r="AO1044" s="62"/>
      <c r="AZ1044" s="284">
        <v>0.1043</v>
      </c>
    </row>
    <row r="1045" spans="41:52" x14ac:dyDescent="0.3">
      <c r="AO1045" s="62"/>
      <c r="AZ1045" s="284">
        <v>0.10440000000000001</v>
      </c>
    </row>
    <row r="1046" spans="41:52" x14ac:dyDescent="0.3">
      <c r="AO1046" s="62"/>
      <c r="AZ1046" s="284">
        <v>0.1045</v>
      </c>
    </row>
    <row r="1047" spans="41:52" x14ac:dyDescent="0.3">
      <c r="AO1047" s="62"/>
      <c r="AZ1047" s="284">
        <v>0.1046</v>
      </c>
    </row>
    <row r="1048" spans="41:52" x14ac:dyDescent="0.3">
      <c r="AO1048" s="62"/>
      <c r="AZ1048" s="284">
        <v>0.1047</v>
      </c>
    </row>
    <row r="1049" spans="41:52" x14ac:dyDescent="0.3">
      <c r="AO1049" s="62"/>
      <c r="AZ1049" s="284">
        <v>0.1048</v>
      </c>
    </row>
    <row r="1050" spans="41:52" x14ac:dyDescent="0.3">
      <c r="AO1050" s="62"/>
      <c r="AZ1050" s="284">
        <v>0.10489999999999999</v>
      </c>
    </row>
    <row r="1051" spans="41:52" x14ac:dyDescent="0.3">
      <c r="AO1051" s="62"/>
      <c r="AZ1051" s="284">
        <v>0.105</v>
      </c>
    </row>
    <row r="1052" spans="41:52" x14ac:dyDescent="0.3">
      <c r="AO1052" s="62"/>
      <c r="AZ1052" s="284">
        <v>0.1051</v>
      </c>
    </row>
    <row r="1053" spans="41:52" x14ac:dyDescent="0.3">
      <c r="AO1053" s="62"/>
      <c r="AZ1053" s="284">
        <v>0.1052</v>
      </c>
    </row>
    <row r="1054" spans="41:52" x14ac:dyDescent="0.3">
      <c r="AO1054" s="62"/>
      <c r="AZ1054" s="284">
        <v>0.1053</v>
      </c>
    </row>
    <row r="1055" spans="41:52" x14ac:dyDescent="0.3">
      <c r="AO1055" s="62"/>
      <c r="AZ1055" s="284">
        <v>0.10539999999999999</v>
      </c>
    </row>
    <row r="1056" spans="41:52" x14ac:dyDescent="0.3">
      <c r="AO1056" s="62"/>
      <c r="AZ1056" s="284">
        <v>0.1055</v>
      </c>
    </row>
    <row r="1057" spans="41:52" x14ac:dyDescent="0.3">
      <c r="AO1057" s="62"/>
      <c r="AZ1057" s="284">
        <v>0.1056</v>
      </c>
    </row>
    <row r="1058" spans="41:52" x14ac:dyDescent="0.3">
      <c r="AO1058" s="62"/>
      <c r="AZ1058" s="284">
        <v>0.1057</v>
      </c>
    </row>
    <row r="1059" spans="41:52" x14ac:dyDescent="0.3">
      <c r="AO1059" s="62"/>
      <c r="AZ1059" s="284">
        <v>0.10580000000000001</v>
      </c>
    </row>
    <row r="1060" spans="41:52" x14ac:dyDescent="0.3">
      <c r="AO1060" s="62"/>
      <c r="AZ1060" s="284">
        <v>0.10589999999999999</v>
      </c>
    </row>
    <row r="1061" spans="41:52" x14ac:dyDescent="0.3">
      <c r="AO1061" s="62"/>
      <c r="AZ1061" s="284">
        <v>0.106</v>
      </c>
    </row>
    <row r="1062" spans="41:52" x14ac:dyDescent="0.3">
      <c r="AO1062" s="62"/>
      <c r="AZ1062" s="284">
        <v>0.1061</v>
      </c>
    </row>
    <row r="1063" spans="41:52" x14ac:dyDescent="0.3">
      <c r="AO1063" s="62"/>
      <c r="AZ1063" s="284">
        <v>0.1062</v>
      </c>
    </row>
    <row r="1064" spans="41:52" x14ac:dyDescent="0.3">
      <c r="AO1064" s="62"/>
      <c r="AZ1064" s="284">
        <v>0.10630000000000001</v>
      </c>
    </row>
    <row r="1065" spans="41:52" x14ac:dyDescent="0.3">
      <c r="AO1065" s="62"/>
      <c r="AZ1065" s="284">
        <v>0.10639999999999999</v>
      </c>
    </row>
    <row r="1066" spans="41:52" x14ac:dyDescent="0.3">
      <c r="AO1066" s="62"/>
      <c r="AZ1066" s="284">
        <v>0.1065</v>
      </c>
    </row>
    <row r="1067" spans="41:52" x14ac:dyDescent="0.3">
      <c r="AO1067" s="62"/>
      <c r="AZ1067" s="284">
        <v>0.1066</v>
      </c>
    </row>
    <row r="1068" spans="41:52" x14ac:dyDescent="0.3">
      <c r="AO1068" s="62"/>
      <c r="AZ1068" s="284">
        <v>0.1067</v>
      </c>
    </row>
    <row r="1069" spans="41:52" x14ac:dyDescent="0.3">
      <c r="AO1069" s="62"/>
      <c r="AZ1069" s="284">
        <v>0.10680000000000001</v>
      </c>
    </row>
    <row r="1070" spans="41:52" x14ac:dyDescent="0.3">
      <c r="AO1070" s="62"/>
      <c r="AZ1070" s="284">
        <v>0.1069</v>
      </c>
    </row>
    <row r="1071" spans="41:52" x14ac:dyDescent="0.3">
      <c r="AO1071" s="62"/>
      <c r="AZ1071" s="284">
        <v>0.107</v>
      </c>
    </row>
    <row r="1072" spans="41:52" x14ac:dyDescent="0.3">
      <c r="AO1072" s="62"/>
      <c r="AZ1072" s="284">
        <v>0.1071</v>
      </c>
    </row>
    <row r="1073" spans="41:52" x14ac:dyDescent="0.3">
      <c r="AO1073" s="62"/>
      <c r="AZ1073" s="284">
        <v>0.1072</v>
      </c>
    </row>
    <row r="1074" spans="41:52" x14ac:dyDescent="0.3">
      <c r="AO1074" s="62"/>
      <c r="AZ1074" s="284">
        <v>0.10730000000000001</v>
      </c>
    </row>
    <row r="1075" spans="41:52" x14ac:dyDescent="0.3">
      <c r="AO1075" s="62"/>
      <c r="AZ1075" s="284">
        <v>0.1074</v>
      </c>
    </row>
    <row r="1076" spans="41:52" x14ac:dyDescent="0.3">
      <c r="AO1076" s="62"/>
      <c r="AZ1076" s="284">
        <v>0.1075</v>
      </c>
    </row>
    <row r="1077" spans="41:52" x14ac:dyDescent="0.3">
      <c r="AO1077" s="62"/>
      <c r="AZ1077" s="284">
        <v>0.1076</v>
      </c>
    </row>
    <row r="1078" spans="41:52" x14ac:dyDescent="0.3">
      <c r="AO1078" s="62"/>
      <c r="AZ1078" s="284">
        <v>0.1077</v>
      </c>
    </row>
    <row r="1079" spans="41:52" x14ac:dyDescent="0.3">
      <c r="AO1079" s="62"/>
      <c r="AZ1079" s="284">
        <v>0.10780000000000001</v>
      </c>
    </row>
    <row r="1080" spans="41:52" x14ac:dyDescent="0.3">
      <c r="AO1080" s="62"/>
      <c r="AZ1080" s="284">
        <v>0.1079</v>
      </c>
    </row>
    <row r="1081" spans="41:52" x14ac:dyDescent="0.3">
      <c r="AO1081" s="62"/>
      <c r="AZ1081" s="284">
        <v>0.108</v>
      </c>
    </row>
    <row r="1082" spans="41:52" x14ac:dyDescent="0.3">
      <c r="AO1082" s="62"/>
      <c r="AZ1082" s="284">
        <v>0.1081</v>
      </c>
    </row>
    <row r="1083" spans="41:52" x14ac:dyDescent="0.3">
      <c r="AO1083" s="62"/>
      <c r="AZ1083" s="284">
        <v>0.1082</v>
      </c>
    </row>
    <row r="1084" spans="41:52" x14ac:dyDescent="0.3">
      <c r="AO1084" s="62"/>
      <c r="AZ1084" s="284">
        <v>0.10829999999999999</v>
      </c>
    </row>
    <row r="1085" spans="41:52" x14ac:dyDescent="0.3">
      <c r="AO1085" s="62"/>
      <c r="AZ1085" s="284">
        <v>0.1084</v>
      </c>
    </row>
    <row r="1086" spans="41:52" x14ac:dyDescent="0.3">
      <c r="AO1086" s="62"/>
      <c r="AZ1086" s="284">
        <v>0.1085</v>
      </c>
    </row>
    <row r="1087" spans="41:52" x14ac:dyDescent="0.3">
      <c r="AO1087" s="62"/>
      <c r="AZ1087" s="284">
        <v>0.1086</v>
      </c>
    </row>
    <row r="1088" spans="41:52" x14ac:dyDescent="0.3">
      <c r="AO1088" s="62"/>
      <c r="AZ1088" s="284">
        <v>0.1087</v>
      </c>
    </row>
    <row r="1089" spans="41:52" x14ac:dyDescent="0.3">
      <c r="AO1089" s="62"/>
      <c r="AZ1089" s="284">
        <v>0.10879999999999999</v>
      </c>
    </row>
    <row r="1090" spans="41:52" x14ac:dyDescent="0.3">
      <c r="AO1090" s="62"/>
      <c r="AZ1090" s="284">
        <v>0.1089</v>
      </c>
    </row>
    <row r="1091" spans="41:52" x14ac:dyDescent="0.3">
      <c r="AO1091" s="62"/>
      <c r="AZ1091" s="284">
        <v>0.109</v>
      </c>
    </row>
    <row r="1092" spans="41:52" x14ac:dyDescent="0.3">
      <c r="AO1092" s="62"/>
      <c r="AZ1092" s="284">
        <v>0.1091</v>
      </c>
    </row>
    <row r="1093" spans="41:52" x14ac:dyDescent="0.3">
      <c r="AO1093" s="62"/>
      <c r="AZ1093" s="284">
        <v>0.10920000000000001</v>
      </c>
    </row>
    <row r="1094" spans="41:52" x14ac:dyDescent="0.3">
      <c r="AO1094" s="62"/>
      <c r="AZ1094" s="284">
        <v>0.10929999999999999</v>
      </c>
    </row>
    <row r="1095" spans="41:52" x14ac:dyDescent="0.3">
      <c r="AO1095" s="62"/>
      <c r="AZ1095" s="284">
        <v>0.1094</v>
      </c>
    </row>
    <row r="1096" spans="41:52" x14ac:dyDescent="0.3">
      <c r="AO1096" s="62"/>
      <c r="AZ1096" s="284">
        <v>0.1095</v>
      </c>
    </row>
    <row r="1097" spans="41:52" x14ac:dyDescent="0.3">
      <c r="AO1097" s="62"/>
      <c r="AZ1097" s="284">
        <v>0.1096</v>
      </c>
    </row>
    <row r="1098" spans="41:52" x14ac:dyDescent="0.3">
      <c r="AO1098" s="62"/>
      <c r="AZ1098" s="284">
        <v>0.10970000000000001</v>
      </c>
    </row>
    <row r="1099" spans="41:52" x14ac:dyDescent="0.3">
      <c r="AO1099" s="62"/>
      <c r="AZ1099" s="284">
        <v>0.10979999999999999</v>
      </c>
    </row>
    <row r="1100" spans="41:52" x14ac:dyDescent="0.3">
      <c r="AO1100" s="62"/>
      <c r="AZ1100" s="284">
        <v>0.1099</v>
      </c>
    </row>
    <row r="1101" spans="41:52" x14ac:dyDescent="0.3">
      <c r="AO1101" s="62"/>
      <c r="AZ1101" s="284">
        <v>0.11</v>
      </c>
    </row>
    <row r="1102" spans="41:52" x14ac:dyDescent="0.3">
      <c r="AO1102" s="62"/>
      <c r="AZ1102" s="284">
        <v>0.1101</v>
      </c>
    </row>
    <row r="1103" spans="41:52" x14ac:dyDescent="0.3">
      <c r="AO1103" s="62"/>
      <c r="AZ1103" s="284">
        <v>0.11020000000000001</v>
      </c>
    </row>
    <row r="1104" spans="41:52" x14ac:dyDescent="0.3">
      <c r="AO1104" s="62"/>
      <c r="AZ1104" s="284">
        <v>0.1103</v>
      </c>
    </row>
    <row r="1105" spans="41:52" x14ac:dyDescent="0.3">
      <c r="AO1105" s="62"/>
      <c r="AZ1105" s="284">
        <v>0.1104</v>
      </c>
    </row>
    <row r="1106" spans="41:52" x14ac:dyDescent="0.3">
      <c r="AO1106" s="62"/>
      <c r="AZ1106" s="284">
        <v>0.1105</v>
      </c>
    </row>
    <row r="1107" spans="41:52" x14ac:dyDescent="0.3">
      <c r="AO1107" s="62"/>
      <c r="AZ1107" s="284">
        <v>0.1106</v>
      </c>
    </row>
    <row r="1108" spans="41:52" x14ac:dyDescent="0.3">
      <c r="AO1108" s="62"/>
      <c r="AZ1108" s="284">
        <v>0.11070000000000001</v>
      </c>
    </row>
    <row r="1109" spans="41:52" x14ac:dyDescent="0.3">
      <c r="AO1109" s="62"/>
      <c r="AZ1109" s="284">
        <v>0.1108</v>
      </c>
    </row>
    <row r="1110" spans="41:52" x14ac:dyDescent="0.3">
      <c r="AO1110" s="62"/>
      <c r="AZ1110" s="284">
        <v>0.1109</v>
      </c>
    </row>
    <row r="1111" spans="41:52" x14ac:dyDescent="0.3">
      <c r="AO1111" s="62"/>
      <c r="AZ1111" s="284">
        <v>0.111</v>
      </c>
    </row>
    <row r="1112" spans="41:52" x14ac:dyDescent="0.3">
      <c r="AO1112" s="62"/>
      <c r="AZ1112" s="284">
        <v>0.1111</v>
      </c>
    </row>
    <row r="1113" spans="41:52" x14ac:dyDescent="0.3">
      <c r="AO1113" s="62"/>
      <c r="AZ1113" s="284">
        <v>0.11119999999999999</v>
      </c>
    </row>
    <row r="1114" spans="41:52" x14ac:dyDescent="0.3">
      <c r="AO1114" s="62"/>
      <c r="AZ1114" s="284">
        <v>0.1113</v>
      </c>
    </row>
    <row r="1115" spans="41:52" x14ac:dyDescent="0.3">
      <c r="AO1115" s="62"/>
      <c r="AZ1115" s="284">
        <v>0.1114</v>
      </c>
    </row>
    <row r="1116" spans="41:52" x14ac:dyDescent="0.3">
      <c r="AO1116" s="62"/>
      <c r="AZ1116" s="284">
        <v>0.1115</v>
      </c>
    </row>
    <row r="1117" spans="41:52" x14ac:dyDescent="0.3">
      <c r="AO1117" s="62"/>
      <c r="AZ1117" s="284">
        <v>0.1116</v>
      </c>
    </row>
    <row r="1118" spans="41:52" x14ac:dyDescent="0.3">
      <c r="AO1118" s="62"/>
      <c r="AZ1118" s="284">
        <v>0.11169999999999999</v>
      </c>
    </row>
    <row r="1119" spans="41:52" x14ac:dyDescent="0.3">
      <c r="AO1119" s="62"/>
      <c r="AZ1119" s="284">
        <v>0.1118</v>
      </c>
    </row>
    <row r="1120" spans="41:52" x14ac:dyDescent="0.3">
      <c r="AO1120" s="62"/>
      <c r="AZ1120" s="284">
        <v>0.1119</v>
      </c>
    </row>
    <row r="1121" spans="41:52" x14ac:dyDescent="0.3">
      <c r="AO1121" s="62"/>
      <c r="AZ1121" s="284">
        <v>0.112</v>
      </c>
    </row>
    <row r="1122" spans="41:52" x14ac:dyDescent="0.3">
      <c r="AO1122" s="62"/>
      <c r="AZ1122" s="284">
        <v>0.11210000000000001</v>
      </c>
    </row>
    <row r="1123" spans="41:52" x14ac:dyDescent="0.3">
      <c r="AO1123" s="62"/>
      <c r="AZ1123" s="284">
        <v>0.11219999999999999</v>
      </c>
    </row>
    <row r="1124" spans="41:52" x14ac:dyDescent="0.3">
      <c r="AO1124" s="62"/>
      <c r="AZ1124" s="284">
        <v>0.1123</v>
      </c>
    </row>
    <row r="1125" spans="41:52" x14ac:dyDescent="0.3">
      <c r="AO1125" s="62"/>
      <c r="AZ1125" s="284">
        <v>0.1124</v>
      </c>
    </row>
    <row r="1126" spans="41:52" x14ac:dyDescent="0.3">
      <c r="AO1126" s="62"/>
      <c r="AZ1126" s="284">
        <v>0.1125</v>
      </c>
    </row>
    <row r="1127" spans="41:52" x14ac:dyDescent="0.3">
      <c r="AO1127" s="62"/>
      <c r="AZ1127" s="284">
        <v>0.11260000000000001</v>
      </c>
    </row>
    <row r="1128" spans="41:52" x14ac:dyDescent="0.3">
      <c r="AO1128" s="62"/>
      <c r="AZ1128" s="284">
        <v>0.11269999999999999</v>
      </c>
    </row>
    <row r="1129" spans="41:52" x14ac:dyDescent="0.3">
      <c r="AO1129" s="62"/>
      <c r="AZ1129" s="284">
        <v>0.1128</v>
      </c>
    </row>
    <row r="1130" spans="41:52" x14ac:dyDescent="0.3">
      <c r="AO1130" s="62"/>
      <c r="AZ1130" s="284">
        <v>0.1129</v>
      </c>
    </row>
    <row r="1131" spans="41:52" x14ac:dyDescent="0.3">
      <c r="AO1131" s="62"/>
      <c r="AZ1131" s="284">
        <v>0.113</v>
      </c>
    </row>
    <row r="1132" spans="41:52" x14ac:dyDescent="0.3">
      <c r="AO1132" s="62"/>
      <c r="AZ1132" s="284">
        <v>0.11310000000000001</v>
      </c>
    </row>
    <row r="1133" spans="41:52" x14ac:dyDescent="0.3">
      <c r="AO1133" s="62"/>
      <c r="AZ1133" s="284">
        <v>0.1132</v>
      </c>
    </row>
    <row r="1134" spans="41:52" x14ac:dyDescent="0.3">
      <c r="AO1134" s="62"/>
      <c r="AZ1134" s="284">
        <v>0.1133</v>
      </c>
    </row>
    <row r="1135" spans="41:52" x14ac:dyDescent="0.3">
      <c r="AO1135" s="62"/>
      <c r="AZ1135" s="284">
        <v>0.1134</v>
      </c>
    </row>
    <row r="1136" spans="41:52" x14ac:dyDescent="0.3">
      <c r="AO1136" s="62"/>
      <c r="AZ1136" s="284">
        <v>0.1135</v>
      </c>
    </row>
    <row r="1137" spans="41:52" x14ac:dyDescent="0.3">
      <c r="AO1137" s="62"/>
      <c r="AZ1137" s="284">
        <v>0.11360000000000001</v>
      </c>
    </row>
    <row r="1138" spans="41:52" x14ac:dyDescent="0.3">
      <c r="AO1138" s="62"/>
      <c r="AZ1138" s="284">
        <v>0.1137</v>
      </c>
    </row>
    <row r="1139" spans="41:52" x14ac:dyDescent="0.3">
      <c r="AO1139" s="62"/>
      <c r="AZ1139" s="284">
        <v>0.1138</v>
      </c>
    </row>
    <row r="1140" spans="41:52" x14ac:dyDescent="0.3">
      <c r="AO1140" s="62"/>
      <c r="AZ1140" s="284">
        <v>0.1139</v>
      </c>
    </row>
    <row r="1141" spans="41:52" x14ac:dyDescent="0.3">
      <c r="AO1141" s="62"/>
      <c r="AZ1141" s="284">
        <v>0.114</v>
      </c>
    </row>
    <row r="1142" spans="41:52" x14ac:dyDescent="0.3">
      <c r="AO1142" s="62"/>
      <c r="AZ1142" s="284">
        <v>0.11409999999999999</v>
      </c>
    </row>
    <row r="1143" spans="41:52" x14ac:dyDescent="0.3">
      <c r="AO1143" s="62"/>
      <c r="AZ1143" s="284">
        <v>0.1142</v>
      </c>
    </row>
    <row r="1144" spans="41:52" x14ac:dyDescent="0.3">
      <c r="AO1144" s="62"/>
      <c r="AZ1144" s="284">
        <v>0.1143</v>
      </c>
    </row>
    <row r="1145" spans="41:52" x14ac:dyDescent="0.3">
      <c r="AO1145" s="62"/>
      <c r="AZ1145" s="284">
        <v>0.1144</v>
      </c>
    </row>
    <row r="1146" spans="41:52" x14ac:dyDescent="0.3">
      <c r="AO1146" s="62"/>
      <c r="AZ1146" s="284">
        <v>0.1145</v>
      </c>
    </row>
    <row r="1147" spans="41:52" x14ac:dyDescent="0.3">
      <c r="AO1147" s="62"/>
      <c r="AZ1147" s="284">
        <v>0.11459999999999999</v>
      </c>
    </row>
    <row r="1148" spans="41:52" x14ac:dyDescent="0.3">
      <c r="AO1148" s="62"/>
      <c r="AZ1148" s="284">
        <v>0.1147</v>
      </c>
    </row>
    <row r="1149" spans="41:52" x14ac:dyDescent="0.3">
      <c r="AO1149" s="62"/>
      <c r="AZ1149" s="284">
        <v>0.1148</v>
      </c>
    </row>
    <row r="1150" spans="41:52" x14ac:dyDescent="0.3">
      <c r="AO1150" s="62"/>
      <c r="AZ1150" s="284">
        <v>0.1149</v>
      </c>
    </row>
    <row r="1151" spans="41:52" x14ac:dyDescent="0.3">
      <c r="AO1151" s="62"/>
      <c r="AZ1151" s="284">
        <v>0.115</v>
      </c>
    </row>
    <row r="1152" spans="41:52" x14ac:dyDescent="0.3">
      <c r="AO1152" s="62"/>
      <c r="AZ1152" s="284">
        <v>0.11509999999999999</v>
      </c>
    </row>
    <row r="1153" spans="41:52" x14ac:dyDescent="0.3">
      <c r="AO1153" s="62"/>
      <c r="AZ1153" s="284">
        <v>0.1152</v>
      </c>
    </row>
    <row r="1154" spans="41:52" x14ac:dyDescent="0.3">
      <c r="AO1154" s="62"/>
      <c r="AZ1154" s="284">
        <v>0.1153</v>
      </c>
    </row>
    <row r="1155" spans="41:52" x14ac:dyDescent="0.3">
      <c r="AO1155" s="62"/>
      <c r="AZ1155" s="284">
        <v>0.1154</v>
      </c>
    </row>
    <row r="1156" spans="41:52" x14ac:dyDescent="0.3">
      <c r="AO1156" s="62"/>
      <c r="AZ1156" s="284">
        <v>0.11550000000000001</v>
      </c>
    </row>
    <row r="1157" spans="41:52" x14ac:dyDescent="0.3">
      <c r="AO1157" s="62"/>
      <c r="AZ1157" s="284">
        <v>0.11559999999999999</v>
      </c>
    </row>
    <row r="1158" spans="41:52" x14ac:dyDescent="0.3">
      <c r="AO1158" s="62"/>
      <c r="AZ1158" s="284">
        <v>0.1157</v>
      </c>
    </row>
    <row r="1159" spans="41:52" x14ac:dyDescent="0.3">
      <c r="AO1159" s="62"/>
      <c r="AZ1159" s="284">
        <v>0.1158</v>
      </c>
    </row>
    <row r="1160" spans="41:52" x14ac:dyDescent="0.3">
      <c r="AO1160" s="62"/>
      <c r="AZ1160" s="284">
        <v>0.1159</v>
      </c>
    </row>
    <row r="1161" spans="41:52" x14ac:dyDescent="0.3">
      <c r="AO1161" s="62"/>
      <c r="AZ1161" s="284">
        <v>0.11600000000000001</v>
      </c>
    </row>
    <row r="1162" spans="41:52" x14ac:dyDescent="0.3">
      <c r="AO1162" s="62"/>
      <c r="AZ1162" s="284">
        <v>0.11609999999999999</v>
      </c>
    </row>
    <row r="1163" spans="41:52" x14ac:dyDescent="0.3">
      <c r="AO1163" s="62"/>
      <c r="AZ1163" s="284">
        <v>0.1162</v>
      </c>
    </row>
    <row r="1164" spans="41:52" x14ac:dyDescent="0.3">
      <c r="AO1164" s="62"/>
      <c r="AZ1164" s="284">
        <v>0.1163</v>
      </c>
    </row>
    <row r="1165" spans="41:52" x14ac:dyDescent="0.3">
      <c r="AO1165" s="62"/>
      <c r="AZ1165" s="284">
        <v>0.1164</v>
      </c>
    </row>
    <row r="1166" spans="41:52" x14ac:dyDescent="0.3">
      <c r="AO1166" s="62"/>
      <c r="AZ1166" s="284">
        <v>0.11650000000000001</v>
      </c>
    </row>
    <row r="1167" spans="41:52" x14ac:dyDescent="0.3">
      <c r="AO1167" s="62"/>
      <c r="AZ1167" s="284">
        <v>0.1166</v>
      </c>
    </row>
    <row r="1168" spans="41:52" x14ac:dyDescent="0.3">
      <c r="AO1168" s="62"/>
      <c r="AZ1168" s="284">
        <v>0.1167</v>
      </c>
    </row>
    <row r="1169" spans="41:52" x14ac:dyDescent="0.3">
      <c r="AO1169" s="62"/>
      <c r="AZ1169" s="284">
        <v>0.1168</v>
      </c>
    </row>
    <row r="1170" spans="41:52" x14ac:dyDescent="0.3">
      <c r="AO1170" s="62"/>
      <c r="AZ1170" s="284">
        <v>0.1169</v>
      </c>
    </row>
    <row r="1171" spans="41:52" x14ac:dyDescent="0.3">
      <c r="AO1171" s="62"/>
      <c r="AZ1171" s="284">
        <v>0.11700000000000001</v>
      </c>
    </row>
    <row r="1172" spans="41:52" x14ac:dyDescent="0.3">
      <c r="AO1172" s="62"/>
      <c r="AZ1172" s="284">
        <v>0.1171</v>
      </c>
    </row>
    <row r="1173" spans="41:52" x14ac:dyDescent="0.3">
      <c r="AO1173" s="62"/>
      <c r="AZ1173" s="284">
        <v>0.1172</v>
      </c>
    </row>
    <row r="1174" spans="41:52" x14ac:dyDescent="0.3">
      <c r="AO1174" s="62"/>
      <c r="AZ1174" s="284">
        <v>0.1173</v>
      </c>
    </row>
    <row r="1175" spans="41:52" x14ac:dyDescent="0.3">
      <c r="AO1175" s="62"/>
      <c r="AZ1175" s="284">
        <v>0.1174</v>
      </c>
    </row>
    <row r="1176" spans="41:52" x14ac:dyDescent="0.3">
      <c r="AO1176" s="62"/>
      <c r="AZ1176" s="284">
        <v>0.11749999999999999</v>
      </c>
    </row>
    <row r="1177" spans="41:52" x14ac:dyDescent="0.3">
      <c r="AO1177" s="62"/>
      <c r="AZ1177" s="284">
        <v>0.1176</v>
      </c>
    </row>
    <row r="1178" spans="41:52" x14ac:dyDescent="0.3">
      <c r="AO1178" s="62"/>
      <c r="AZ1178" s="284">
        <v>0.1177</v>
      </c>
    </row>
    <row r="1179" spans="41:52" x14ac:dyDescent="0.3">
      <c r="AO1179" s="62"/>
      <c r="AZ1179" s="284">
        <v>0.1178</v>
      </c>
    </row>
    <row r="1180" spans="41:52" x14ac:dyDescent="0.3">
      <c r="AO1180" s="62"/>
      <c r="AZ1180" s="284">
        <v>0.1179</v>
      </c>
    </row>
    <row r="1181" spans="41:52" x14ac:dyDescent="0.3">
      <c r="AO1181" s="62"/>
      <c r="AZ1181" s="284">
        <v>0.11799999999999999</v>
      </c>
    </row>
    <row r="1182" spans="41:52" x14ac:dyDescent="0.3">
      <c r="AO1182" s="62"/>
      <c r="AZ1182" s="284">
        <v>0.1181</v>
      </c>
    </row>
    <row r="1183" spans="41:52" x14ac:dyDescent="0.3">
      <c r="AO1183" s="62"/>
      <c r="AZ1183" s="284">
        <v>0.1182</v>
      </c>
    </row>
    <row r="1184" spans="41:52" x14ac:dyDescent="0.3">
      <c r="AO1184" s="62"/>
      <c r="AZ1184" s="284">
        <v>0.1183</v>
      </c>
    </row>
    <row r="1185" spans="41:52" x14ac:dyDescent="0.3">
      <c r="AO1185" s="62"/>
      <c r="AZ1185" s="284">
        <v>0.11840000000000001</v>
      </c>
    </row>
    <row r="1186" spans="41:52" x14ac:dyDescent="0.3">
      <c r="AO1186" s="62"/>
      <c r="AZ1186" s="284">
        <v>0.11849999999999999</v>
      </c>
    </row>
    <row r="1187" spans="41:52" x14ac:dyDescent="0.3">
      <c r="AO1187" s="62"/>
      <c r="AZ1187" s="284">
        <v>0.1186</v>
      </c>
    </row>
    <row r="1188" spans="41:52" x14ac:dyDescent="0.3">
      <c r="AO1188" s="62"/>
      <c r="AZ1188" s="284">
        <v>0.1187</v>
      </c>
    </row>
    <row r="1189" spans="41:52" x14ac:dyDescent="0.3">
      <c r="AO1189" s="62"/>
      <c r="AZ1189" s="284">
        <v>0.1188</v>
      </c>
    </row>
    <row r="1190" spans="41:52" x14ac:dyDescent="0.3">
      <c r="AO1190" s="62"/>
      <c r="AZ1190" s="284">
        <v>0.11890000000000001</v>
      </c>
    </row>
    <row r="1191" spans="41:52" x14ac:dyDescent="0.3">
      <c r="AO1191" s="62"/>
      <c r="AZ1191" s="284">
        <v>0.11899999999999999</v>
      </c>
    </row>
    <row r="1192" spans="41:52" x14ac:dyDescent="0.3">
      <c r="AO1192" s="62"/>
      <c r="AZ1192" s="284">
        <v>0.1191</v>
      </c>
    </row>
    <row r="1193" spans="41:52" x14ac:dyDescent="0.3">
      <c r="AO1193" s="62"/>
      <c r="AZ1193" s="284">
        <v>0.1192</v>
      </c>
    </row>
    <row r="1194" spans="41:52" x14ac:dyDescent="0.3">
      <c r="AO1194" s="62"/>
      <c r="AZ1194" s="284">
        <v>0.1193</v>
      </c>
    </row>
    <row r="1195" spans="41:52" x14ac:dyDescent="0.3">
      <c r="AO1195" s="62"/>
      <c r="AZ1195" s="284">
        <v>0.11940000000000001</v>
      </c>
    </row>
    <row r="1196" spans="41:52" x14ac:dyDescent="0.3">
      <c r="AO1196" s="62"/>
      <c r="AZ1196" s="284">
        <v>0.1195</v>
      </c>
    </row>
    <row r="1197" spans="41:52" x14ac:dyDescent="0.3">
      <c r="AO1197" s="62"/>
      <c r="AZ1197" s="284">
        <v>0.1196</v>
      </c>
    </row>
    <row r="1198" spans="41:52" x14ac:dyDescent="0.3">
      <c r="AO1198" s="62"/>
      <c r="AZ1198" s="284">
        <v>0.1197</v>
      </c>
    </row>
    <row r="1199" spans="41:52" x14ac:dyDescent="0.3">
      <c r="AO1199" s="62"/>
      <c r="AZ1199" s="284">
        <v>0.1198</v>
      </c>
    </row>
    <row r="1200" spans="41:52" x14ac:dyDescent="0.3">
      <c r="AO1200" s="62"/>
      <c r="AZ1200" s="284">
        <v>0.11990000000000001</v>
      </c>
    </row>
    <row r="1201" spans="41:52" x14ac:dyDescent="0.3">
      <c r="AO1201" s="62"/>
      <c r="AZ1201" s="284">
        <v>0.12</v>
      </c>
    </row>
    <row r="1202" spans="41:52" x14ac:dyDescent="0.3">
      <c r="AO1202" s="62"/>
      <c r="AZ1202" s="284">
        <v>0.1201</v>
      </c>
    </row>
    <row r="1203" spans="41:52" x14ac:dyDescent="0.3">
      <c r="AO1203" s="62"/>
      <c r="AZ1203" s="284">
        <v>0.1202</v>
      </c>
    </row>
    <row r="1204" spans="41:52" x14ac:dyDescent="0.3">
      <c r="AO1204" s="62"/>
      <c r="AZ1204" s="284">
        <v>0.1203</v>
      </c>
    </row>
    <row r="1205" spans="41:52" x14ac:dyDescent="0.3">
      <c r="AO1205" s="62"/>
      <c r="AZ1205" s="284">
        <v>0.12039999999999999</v>
      </c>
    </row>
    <row r="1206" spans="41:52" x14ac:dyDescent="0.3">
      <c r="AO1206" s="62"/>
      <c r="AZ1206" s="284">
        <v>0.1205</v>
      </c>
    </row>
    <row r="1207" spans="41:52" x14ac:dyDescent="0.3">
      <c r="AO1207" s="62"/>
      <c r="AZ1207" s="284">
        <v>0.1206</v>
      </c>
    </row>
    <row r="1208" spans="41:52" x14ac:dyDescent="0.3">
      <c r="AO1208" s="62"/>
      <c r="AZ1208" s="284">
        <v>0.1207</v>
      </c>
    </row>
    <row r="1209" spans="41:52" x14ac:dyDescent="0.3">
      <c r="AO1209" s="62"/>
      <c r="AZ1209" s="284">
        <v>0.1208</v>
      </c>
    </row>
    <row r="1210" spans="41:52" x14ac:dyDescent="0.3">
      <c r="AO1210" s="62"/>
      <c r="AZ1210" s="284">
        <v>0.12089999999999999</v>
      </c>
    </row>
    <row r="1211" spans="41:52" x14ac:dyDescent="0.3">
      <c r="AO1211" s="62"/>
      <c r="AZ1211" s="284">
        <v>0.121</v>
      </c>
    </row>
    <row r="1212" spans="41:52" x14ac:dyDescent="0.3">
      <c r="AO1212" s="62"/>
      <c r="AZ1212" s="284">
        <v>0.1211</v>
      </c>
    </row>
    <row r="1213" spans="41:52" x14ac:dyDescent="0.3">
      <c r="AO1213" s="62"/>
      <c r="AZ1213" s="284">
        <v>0.1212</v>
      </c>
    </row>
    <row r="1214" spans="41:52" x14ac:dyDescent="0.3">
      <c r="AO1214" s="62"/>
      <c r="AZ1214" s="284">
        <v>0.12130000000000001</v>
      </c>
    </row>
    <row r="1215" spans="41:52" x14ac:dyDescent="0.3">
      <c r="AO1215" s="62"/>
      <c r="AZ1215" s="284">
        <v>0.12139999999999999</v>
      </c>
    </row>
    <row r="1216" spans="41:52" x14ac:dyDescent="0.3">
      <c r="AO1216" s="62"/>
      <c r="AZ1216" s="284">
        <v>0.1215</v>
      </c>
    </row>
    <row r="1217" spans="41:52" x14ac:dyDescent="0.3">
      <c r="AO1217" s="62"/>
      <c r="AZ1217" s="284">
        <v>0.1216</v>
      </c>
    </row>
    <row r="1218" spans="41:52" x14ac:dyDescent="0.3">
      <c r="AO1218" s="62"/>
      <c r="AZ1218" s="284">
        <v>0.1217</v>
      </c>
    </row>
    <row r="1219" spans="41:52" x14ac:dyDescent="0.3">
      <c r="AO1219" s="62"/>
      <c r="AZ1219" s="284">
        <v>0.12180000000000001</v>
      </c>
    </row>
    <row r="1220" spans="41:52" x14ac:dyDescent="0.3">
      <c r="AO1220" s="62"/>
      <c r="AZ1220" s="284">
        <v>0.12189999999999999</v>
      </c>
    </row>
    <row r="1221" spans="41:52" x14ac:dyDescent="0.3">
      <c r="AO1221" s="62"/>
      <c r="AZ1221" s="284">
        <v>0.122</v>
      </c>
    </row>
    <row r="1222" spans="41:52" x14ac:dyDescent="0.3">
      <c r="AO1222" s="62"/>
      <c r="AZ1222" s="284">
        <v>0.1221</v>
      </c>
    </row>
    <row r="1223" spans="41:52" x14ac:dyDescent="0.3">
      <c r="AO1223" s="62"/>
      <c r="AZ1223" s="284">
        <v>0.1222</v>
      </c>
    </row>
    <row r="1224" spans="41:52" x14ac:dyDescent="0.3">
      <c r="AO1224" s="62"/>
      <c r="AZ1224" s="284">
        <v>0.12230000000000001</v>
      </c>
    </row>
    <row r="1225" spans="41:52" x14ac:dyDescent="0.3">
      <c r="AO1225" s="62"/>
      <c r="AZ1225" s="284">
        <v>0.12239999999999999</v>
      </c>
    </row>
    <row r="1226" spans="41:52" x14ac:dyDescent="0.3">
      <c r="AO1226" s="62"/>
      <c r="AZ1226" s="284">
        <v>0.1225</v>
      </c>
    </row>
    <row r="1227" spans="41:52" x14ac:dyDescent="0.3">
      <c r="AO1227" s="62"/>
      <c r="AZ1227" s="284">
        <v>0.1226</v>
      </c>
    </row>
    <row r="1228" spans="41:52" x14ac:dyDescent="0.3">
      <c r="AO1228" s="62"/>
      <c r="AZ1228" s="284">
        <v>0.1227</v>
      </c>
    </row>
    <row r="1229" spans="41:52" x14ac:dyDescent="0.3">
      <c r="AO1229" s="62"/>
      <c r="AZ1229" s="284">
        <v>0.12280000000000001</v>
      </c>
    </row>
    <row r="1230" spans="41:52" x14ac:dyDescent="0.3">
      <c r="AO1230" s="62"/>
      <c r="AZ1230" s="284">
        <v>0.1229</v>
      </c>
    </row>
    <row r="1231" spans="41:52" x14ac:dyDescent="0.3">
      <c r="AO1231" s="62"/>
      <c r="AZ1231" s="284">
        <v>0.123</v>
      </c>
    </row>
    <row r="1232" spans="41:52" x14ac:dyDescent="0.3">
      <c r="AO1232" s="62"/>
      <c r="AZ1232" s="284">
        <v>0.1231</v>
      </c>
    </row>
    <row r="1233" spans="41:52" x14ac:dyDescent="0.3">
      <c r="AO1233" s="62"/>
      <c r="AZ1233" s="284">
        <v>0.1232</v>
      </c>
    </row>
    <row r="1234" spans="41:52" x14ac:dyDescent="0.3">
      <c r="AO1234" s="62"/>
      <c r="AZ1234" s="284">
        <v>0.12330000000000001</v>
      </c>
    </row>
    <row r="1235" spans="41:52" x14ac:dyDescent="0.3">
      <c r="AO1235" s="62"/>
      <c r="AZ1235" s="284">
        <v>0.1234</v>
      </c>
    </row>
    <row r="1236" spans="41:52" x14ac:dyDescent="0.3">
      <c r="AO1236" s="62"/>
      <c r="AZ1236" s="284">
        <v>0.1235</v>
      </c>
    </row>
    <row r="1237" spans="41:52" x14ac:dyDescent="0.3">
      <c r="AO1237" s="62"/>
      <c r="AZ1237" s="284">
        <v>0.1236</v>
      </c>
    </row>
    <row r="1238" spans="41:52" x14ac:dyDescent="0.3">
      <c r="AO1238" s="62"/>
      <c r="AZ1238" s="284">
        <v>0.1237</v>
      </c>
    </row>
    <row r="1239" spans="41:52" x14ac:dyDescent="0.3">
      <c r="AO1239" s="62"/>
      <c r="AZ1239" s="284">
        <v>0.12379999999999999</v>
      </c>
    </row>
    <row r="1240" spans="41:52" x14ac:dyDescent="0.3">
      <c r="AO1240" s="62"/>
      <c r="AZ1240" s="284">
        <v>0.1239</v>
      </c>
    </row>
    <row r="1241" spans="41:52" x14ac:dyDescent="0.3">
      <c r="AO1241" s="62"/>
      <c r="AZ1241" s="284">
        <v>0.124</v>
      </c>
    </row>
    <row r="1242" spans="41:52" x14ac:dyDescent="0.3">
      <c r="AO1242" s="62"/>
      <c r="AZ1242" s="284">
        <v>0.1241</v>
      </c>
    </row>
    <row r="1243" spans="41:52" x14ac:dyDescent="0.3">
      <c r="AO1243" s="62"/>
      <c r="AZ1243" s="284">
        <v>0.1242</v>
      </c>
    </row>
    <row r="1244" spans="41:52" x14ac:dyDescent="0.3">
      <c r="AO1244" s="62"/>
      <c r="AZ1244" s="284">
        <v>0.12429999999999999</v>
      </c>
    </row>
    <row r="1245" spans="41:52" x14ac:dyDescent="0.3">
      <c r="AO1245" s="62"/>
      <c r="AZ1245" s="284">
        <v>0.1244</v>
      </c>
    </row>
    <row r="1246" spans="41:52" x14ac:dyDescent="0.3">
      <c r="AO1246" s="62"/>
      <c r="AZ1246" s="284">
        <v>0.1245</v>
      </c>
    </row>
    <row r="1247" spans="41:52" x14ac:dyDescent="0.3">
      <c r="AO1247" s="62"/>
      <c r="AZ1247" s="284">
        <v>0.1246</v>
      </c>
    </row>
    <row r="1248" spans="41:52" x14ac:dyDescent="0.3">
      <c r="AO1248" s="62"/>
      <c r="AZ1248" s="284">
        <v>0.12470000000000001</v>
      </c>
    </row>
    <row r="1249" spans="41:52" x14ac:dyDescent="0.3">
      <c r="AO1249" s="62"/>
      <c r="AZ1249" s="284">
        <v>0.12479999999999999</v>
      </c>
    </row>
    <row r="1250" spans="41:52" x14ac:dyDescent="0.3">
      <c r="AO1250" s="62"/>
      <c r="AZ1250" s="284">
        <v>0.1249</v>
      </c>
    </row>
    <row r="1251" spans="41:52" x14ac:dyDescent="0.3">
      <c r="AO1251" s="62"/>
      <c r="AZ1251" s="284">
        <v>0.125</v>
      </c>
    </row>
    <row r="1252" spans="41:52" x14ac:dyDescent="0.3">
      <c r="AO1252" s="62"/>
      <c r="AZ1252" s="284">
        <v>0.12509999999999999</v>
      </c>
    </row>
    <row r="1253" spans="41:52" x14ac:dyDescent="0.3">
      <c r="AO1253" s="62"/>
      <c r="AZ1253" s="284">
        <v>0.12520000000000001</v>
      </c>
    </row>
    <row r="1254" spans="41:52" x14ac:dyDescent="0.3">
      <c r="AO1254" s="62"/>
      <c r="AZ1254" s="284">
        <v>0.12529999999999999</v>
      </c>
    </row>
    <row r="1255" spans="41:52" x14ac:dyDescent="0.3">
      <c r="AO1255" s="62"/>
      <c r="AZ1255" s="284">
        <v>0.12540000000000001</v>
      </c>
    </row>
    <row r="1256" spans="41:52" x14ac:dyDescent="0.3">
      <c r="AO1256" s="62"/>
      <c r="AZ1256" s="284">
        <v>0.1255</v>
      </c>
    </row>
    <row r="1257" spans="41:52" x14ac:dyDescent="0.3">
      <c r="AO1257" s="62"/>
      <c r="AZ1257" s="284">
        <v>0.12559999999999999</v>
      </c>
    </row>
    <row r="1258" spans="41:52" x14ac:dyDescent="0.3">
      <c r="AO1258" s="62"/>
      <c r="AZ1258" s="284">
        <v>0.12570000000000001</v>
      </c>
    </row>
    <row r="1259" spans="41:52" x14ac:dyDescent="0.3">
      <c r="AO1259" s="62"/>
      <c r="AZ1259" s="284">
        <v>0.1258</v>
      </c>
    </row>
    <row r="1260" spans="41:52" x14ac:dyDescent="0.3">
      <c r="AO1260" s="62"/>
      <c r="AZ1260" s="284">
        <v>0.12590000000000001</v>
      </c>
    </row>
    <row r="1261" spans="41:52" x14ac:dyDescent="0.3">
      <c r="AO1261" s="62"/>
      <c r="AZ1261" s="284">
        <v>0.126</v>
      </c>
    </row>
    <row r="1262" spans="41:52" x14ac:dyDescent="0.3">
      <c r="AO1262" s="62"/>
      <c r="AZ1262" s="284">
        <v>0.12609999999999999</v>
      </c>
    </row>
    <row r="1263" spans="41:52" x14ac:dyDescent="0.3">
      <c r="AO1263" s="62"/>
      <c r="AZ1263" s="284">
        <v>0.12620000000000001</v>
      </c>
    </row>
    <row r="1264" spans="41:52" x14ac:dyDescent="0.3">
      <c r="AO1264" s="62"/>
      <c r="AZ1264" s="284">
        <v>0.1263</v>
      </c>
    </row>
    <row r="1265" spans="41:52" x14ac:dyDescent="0.3">
      <c r="AO1265" s="62"/>
      <c r="AZ1265" s="284">
        <v>0.12640000000000001</v>
      </c>
    </row>
    <row r="1266" spans="41:52" x14ac:dyDescent="0.3">
      <c r="AO1266" s="62"/>
      <c r="AZ1266" s="284">
        <v>0.1265</v>
      </c>
    </row>
    <row r="1267" spans="41:52" x14ac:dyDescent="0.3">
      <c r="AO1267" s="62"/>
      <c r="AZ1267" s="284">
        <v>0.12659999999999999</v>
      </c>
    </row>
    <row r="1268" spans="41:52" x14ac:dyDescent="0.3">
      <c r="AO1268" s="62"/>
      <c r="AZ1268" s="284">
        <v>0.12670000000000001</v>
      </c>
    </row>
    <row r="1269" spans="41:52" x14ac:dyDescent="0.3">
      <c r="AO1269" s="62"/>
      <c r="AZ1269" s="284">
        <v>0.1268</v>
      </c>
    </row>
    <row r="1270" spans="41:52" x14ac:dyDescent="0.3">
      <c r="AO1270" s="62"/>
      <c r="AZ1270" s="284">
        <v>0.12690000000000001</v>
      </c>
    </row>
    <row r="1271" spans="41:52" x14ac:dyDescent="0.3">
      <c r="AO1271" s="62"/>
      <c r="AZ1271" s="284">
        <v>0.127</v>
      </c>
    </row>
    <row r="1272" spans="41:52" x14ac:dyDescent="0.3">
      <c r="AO1272" s="62"/>
      <c r="AZ1272" s="284">
        <v>0.12709999999999999</v>
      </c>
    </row>
    <row r="1273" spans="41:52" x14ac:dyDescent="0.3">
      <c r="AO1273" s="62"/>
      <c r="AZ1273" s="284">
        <v>0.12720000000000001</v>
      </c>
    </row>
    <row r="1274" spans="41:52" x14ac:dyDescent="0.3">
      <c r="AO1274" s="62"/>
      <c r="AZ1274" s="284">
        <v>0.1273</v>
      </c>
    </row>
    <row r="1275" spans="41:52" x14ac:dyDescent="0.3">
      <c r="AO1275" s="62"/>
      <c r="AZ1275" s="284">
        <v>0.12740000000000001</v>
      </c>
    </row>
    <row r="1276" spans="41:52" x14ac:dyDescent="0.3">
      <c r="AO1276" s="62"/>
      <c r="AZ1276" s="284">
        <v>0.1275</v>
      </c>
    </row>
    <row r="1277" spans="41:52" x14ac:dyDescent="0.3">
      <c r="AO1277" s="62"/>
      <c r="AZ1277" s="284">
        <v>0.12759999999999999</v>
      </c>
    </row>
    <row r="1278" spans="41:52" x14ac:dyDescent="0.3">
      <c r="AO1278" s="62"/>
      <c r="AZ1278" s="284">
        <v>0.12770000000000001</v>
      </c>
    </row>
    <row r="1279" spans="41:52" x14ac:dyDescent="0.3">
      <c r="AO1279" s="62"/>
      <c r="AZ1279" s="284">
        <v>0.1278</v>
      </c>
    </row>
    <row r="1280" spans="41:52" x14ac:dyDescent="0.3">
      <c r="AO1280" s="62"/>
      <c r="AZ1280" s="284">
        <v>0.12790000000000001</v>
      </c>
    </row>
    <row r="1281" spans="41:52" x14ac:dyDescent="0.3">
      <c r="AO1281" s="62"/>
      <c r="AZ1281" s="284">
        <v>0.128</v>
      </c>
    </row>
    <row r="1282" spans="41:52" x14ac:dyDescent="0.3">
      <c r="AO1282" s="62"/>
      <c r="AZ1282" s="284">
        <v>0.12809999999999999</v>
      </c>
    </row>
    <row r="1283" spans="41:52" x14ac:dyDescent="0.3">
      <c r="AO1283" s="62"/>
      <c r="AZ1283" s="284">
        <v>0.12820000000000001</v>
      </c>
    </row>
    <row r="1284" spans="41:52" x14ac:dyDescent="0.3">
      <c r="AO1284" s="62"/>
      <c r="AZ1284" s="284">
        <v>0.1283</v>
      </c>
    </row>
    <row r="1285" spans="41:52" x14ac:dyDescent="0.3">
      <c r="AO1285" s="62"/>
      <c r="AZ1285" s="284">
        <v>0.12839999999999999</v>
      </c>
    </row>
    <row r="1286" spans="41:52" x14ac:dyDescent="0.3">
      <c r="AO1286" s="62"/>
      <c r="AZ1286" s="284">
        <v>0.1285</v>
      </c>
    </row>
    <row r="1287" spans="41:52" x14ac:dyDescent="0.3">
      <c r="AO1287" s="62"/>
      <c r="AZ1287" s="284">
        <v>0.12859999999999999</v>
      </c>
    </row>
    <row r="1288" spans="41:52" x14ac:dyDescent="0.3">
      <c r="AO1288" s="62"/>
      <c r="AZ1288" s="284">
        <v>0.12870000000000001</v>
      </c>
    </row>
    <row r="1289" spans="41:52" x14ac:dyDescent="0.3">
      <c r="AO1289" s="62"/>
      <c r="AZ1289" s="284">
        <v>0.1288</v>
      </c>
    </row>
    <row r="1290" spans="41:52" x14ac:dyDescent="0.3">
      <c r="AO1290" s="62"/>
      <c r="AZ1290" s="284">
        <v>0.12889999999999999</v>
      </c>
    </row>
    <row r="1291" spans="41:52" x14ac:dyDescent="0.3">
      <c r="AO1291" s="62"/>
      <c r="AZ1291" s="284">
        <v>0.129</v>
      </c>
    </row>
    <row r="1292" spans="41:52" x14ac:dyDescent="0.3">
      <c r="AO1292" s="62"/>
      <c r="AZ1292" s="284">
        <v>0.12909999999999999</v>
      </c>
    </row>
    <row r="1293" spans="41:52" x14ac:dyDescent="0.3">
      <c r="AO1293" s="62"/>
      <c r="AZ1293" s="284">
        <v>0.12920000000000001</v>
      </c>
    </row>
    <row r="1294" spans="41:52" x14ac:dyDescent="0.3">
      <c r="AO1294" s="62"/>
      <c r="AZ1294" s="284">
        <v>0.1293</v>
      </c>
    </row>
    <row r="1295" spans="41:52" x14ac:dyDescent="0.3">
      <c r="AO1295" s="62"/>
      <c r="AZ1295" s="284">
        <v>0.12939999999999999</v>
      </c>
    </row>
    <row r="1296" spans="41:52" x14ac:dyDescent="0.3">
      <c r="AO1296" s="62"/>
      <c r="AZ1296" s="284">
        <v>0.1295</v>
      </c>
    </row>
    <row r="1297" spans="41:52" x14ac:dyDescent="0.3">
      <c r="AO1297" s="62"/>
      <c r="AZ1297" s="284">
        <v>0.12959999999999999</v>
      </c>
    </row>
    <row r="1298" spans="41:52" x14ac:dyDescent="0.3">
      <c r="AO1298" s="62"/>
      <c r="AZ1298" s="284">
        <v>0.12970000000000001</v>
      </c>
    </row>
    <row r="1299" spans="41:52" x14ac:dyDescent="0.3">
      <c r="AO1299" s="62"/>
      <c r="AZ1299" s="284">
        <v>0.1298</v>
      </c>
    </row>
    <row r="1300" spans="41:52" x14ac:dyDescent="0.3">
      <c r="AO1300" s="62"/>
      <c r="AZ1300" s="284">
        <v>0.12989999999999999</v>
      </c>
    </row>
    <row r="1301" spans="41:52" x14ac:dyDescent="0.3">
      <c r="AO1301" s="62"/>
      <c r="AZ1301" s="284">
        <v>0.13</v>
      </c>
    </row>
    <row r="1302" spans="41:52" x14ac:dyDescent="0.3">
      <c r="AO1302" s="62"/>
      <c r="AZ1302" s="284">
        <v>0.13009999999999999</v>
      </c>
    </row>
    <row r="1303" spans="41:52" x14ac:dyDescent="0.3">
      <c r="AO1303" s="62"/>
      <c r="AZ1303" s="284">
        <v>0.13020000000000001</v>
      </c>
    </row>
    <row r="1304" spans="41:52" x14ac:dyDescent="0.3">
      <c r="AO1304" s="62"/>
      <c r="AZ1304" s="284">
        <v>0.1303</v>
      </c>
    </row>
    <row r="1305" spans="41:52" x14ac:dyDescent="0.3">
      <c r="AO1305" s="62"/>
      <c r="AZ1305" s="284">
        <v>0.13039999999999999</v>
      </c>
    </row>
    <row r="1306" spans="41:52" x14ac:dyDescent="0.3">
      <c r="AO1306" s="62"/>
      <c r="AZ1306" s="284">
        <v>0.1305</v>
      </c>
    </row>
    <row r="1307" spans="41:52" x14ac:dyDescent="0.3">
      <c r="AO1307" s="62"/>
      <c r="AZ1307" s="284">
        <v>0.13059999999999999</v>
      </c>
    </row>
    <row r="1308" spans="41:52" x14ac:dyDescent="0.3">
      <c r="AO1308" s="62"/>
      <c r="AZ1308" s="284">
        <v>0.13070000000000001</v>
      </c>
    </row>
    <row r="1309" spans="41:52" x14ac:dyDescent="0.3">
      <c r="AO1309" s="62"/>
      <c r="AZ1309" s="284">
        <v>0.1308</v>
      </c>
    </row>
    <row r="1310" spans="41:52" x14ac:dyDescent="0.3">
      <c r="AO1310" s="62"/>
      <c r="AZ1310" s="284">
        <v>0.13089999999999999</v>
      </c>
    </row>
    <row r="1311" spans="41:52" x14ac:dyDescent="0.3">
      <c r="AO1311" s="62"/>
      <c r="AZ1311" s="284">
        <v>0.13100000000000001</v>
      </c>
    </row>
    <row r="1312" spans="41:52" x14ac:dyDescent="0.3">
      <c r="AO1312" s="62"/>
      <c r="AZ1312" s="284">
        <v>0.13109999999999999</v>
      </c>
    </row>
    <row r="1313" spans="41:52" x14ac:dyDescent="0.3">
      <c r="AO1313" s="62"/>
      <c r="AZ1313" s="284">
        <v>0.13120000000000001</v>
      </c>
    </row>
    <row r="1314" spans="41:52" x14ac:dyDescent="0.3">
      <c r="AO1314" s="62"/>
      <c r="AZ1314" s="284">
        <v>0.1313</v>
      </c>
    </row>
    <row r="1315" spans="41:52" x14ac:dyDescent="0.3">
      <c r="AO1315" s="62"/>
      <c r="AZ1315" s="284">
        <v>0.13139999999999999</v>
      </c>
    </row>
    <row r="1316" spans="41:52" x14ac:dyDescent="0.3">
      <c r="AO1316" s="62"/>
      <c r="AZ1316" s="284">
        <v>0.13150000000000001</v>
      </c>
    </row>
    <row r="1317" spans="41:52" x14ac:dyDescent="0.3">
      <c r="AO1317" s="62"/>
      <c r="AZ1317" s="284">
        <v>0.13159999999999999</v>
      </c>
    </row>
    <row r="1318" spans="41:52" x14ac:dyDescent="0.3">
      <c r="AO1318" s="62"/>
      <c r="AZ1318" s="284">
        <v>0.13170000000000001</v>
      </c>
    </row>
    <row r="1319" spans="41:52" x14ac:dyDescent="0.3">
      <c r="AO1319" s="62"/>
      <c r="AZ1319" s="284">
        <v>0.1318</v>
      </c>
    </row>
    <row r="1320" spans="41:52" x14ac:dyDescent="0.3">
      <c r="AO1320" s="62"/>
      <c r="AZ1320" s="284">
        <v>0.13189999999999999</v>
      </c>
    </row>
    <row r="1321" spans="41:52" x14ac:dyDescent="0.3">
      <c r="AO1321" s="62"/>
      <c r="AZ1321" s="284">
        <v>0.13200000000000001</v>
      </c>
    </row>
    <row r="1322" spans="41:52" x14ac:dyDescent="0.3">
      <c r="AO1322" s="62"/>
      <c r="AZ1322" s="284">
        <v>0.1321</v>
      </c>
    </row>
    <row r="1323" spans="41:52" x14ac:dyDescent="0.3">
      <c r="AO1323" s="62"/>
      <c r="AZ1323" s="284">
        <v>0.13220000000000001</v>
      </c>
    </row>
    <row r="1324" spans="41:52" x14ac:dyDescent="0.3">
      <c r="AO1324" s="62"/>
      <c r="AZ1324" s="284">
        <v>0.1323</v>
      </c>
    </row>
    <row r="1325" spans="41:52" x14ac:dyDescent="0.3">
      <c r="AO1325" s="62"/>
      <c r="AZ1325" s="284">
        <v>0.13239999999999999</v>
      </c>
    </row>
    <row r="1326" spans="41:52" x14ac:dyDescent="0.3">
      <c r="AO1326" s="62"/>
      <c r="AZ1326" s="284">
        <v>0.13250000000000001</v>
      </c>
    </row>
    <row r="1327" spans="41:52" x14ac:dyDescent="0.3">
      <c r="AO1327" s="62"/>
      <c r="AZ1327" s="284">
        <v>0.1326</v>
      </c>
    </row>
    <row r="1328" spans="41:52" x14ac:dyDescent="0.3">
      <c r="AO1328" s="62"/>
      <c r="AZ1328" s="284">
        <v>0.13270000000000001</v>
      </c>
    </row>
    <row r="1329" spans="41:52" x14ac:dyDescent="0.3">
      <c r="AO1329" s="62"/>
      <c r="AZ1329" s="284">
        <v>0.1328</v>
      </c>
    </row>
    <row r="1330" spans="41:52" x14ac:dyDescent="0.3">
      <c r="AO1330" s="62"/>
      <c r="AZ1330" s="284">
        <v>0.13289999999999999</v>
      </c>
    </row>
    <row r="1331" spans="41:52" x14ac:dyDescent="0.3">
      <c r="AO1331" s="62"/>
      <c r="AZ1331" s="284">
        <v>0.13300000000000001</v>
      </c>
    </row>
    <row r="1332" spans="41:52" x14ac:dyDescent="0.3">
      <c r="AO1332" s="62"/>
      <c r="AZ1332" s="284">
        <v>0.1331</v>
      </c>
    </row>
    <row r="1333" spans="41:52" x14ac:dyDescent="0.3">
      <c r="AO1333" s="62"/>
      <c r="AZ1333" s="284">
        <v>0.13320000000000001</v>
      </c>
    </row>
    <row r="1334" spans="41:52" x14ac:dyDescent="0.3">
      <c r="AO1334" s="62"/>
      <c r="AZ1334" s="284">
        <v>0.1333</v>
      </c>
    </row>
    <row r="1335" spans="41:52" x14ac:dyDescent="0.3">
      <c r="AO1335" s="62"/>
      <c r="AZ1335" s="284">
        <v>0.13339999999999999</v>
      </c>
    </row>
    <row r="1336" spans="41:52" x14ac:dyDescent="0.3">
      <c r="AO1336" s="62"/>
      <c r="AZ1336" s="284">
        <v>0.13350000000000001</v>
      </c>
    </row>
    <row r="1337" spans="41:52" x14ac:dyDescent="0.3">
      <c r="AO1337" s="62"/>
      <c r="AZ1337" s="284">
        <v>0.1336</v>
      </c>
    </row>
    <row r="1338" spans="41:52" x14ac:dyDescent="0.3">
      <c r="AO1338" s="62"/>
      <c r="AZ1338" s="284">
        <v>0.13370000000000001</v>
      </c>
    </row>
    <row r="1339" spans="41:52" x14ac:dyDescent="0.3">
      <c r="AO1339" s="62"/>
      <c r="AZ1339" s="284">
        <v>0.1338</v>
      </c>
    </row>
    <row r="1340" spans="41:52" x14ac:dyDescent="0.3">
      <c r="AO1340" s="62"/>
      <c r="AZ1340" s="284">
        <v>0.13389999999999999</v>
      </c>
    </row>
    <row r="1341" spans="41:52" x14ac:dyDescent="0.3">
      <c r="AO1341" s="62"/>
      <c r="AZ1341" s="284">
        <v>0.13400000000000001</v>
      </c>
    </row>
    <row r="1342" spans="41:52" x14ac:dyDescent="0.3">
      <c r="AO1342" s="62"/>
      <c r="AZ1342" s="284">
        <v>0.1341</v>
      </c>
    </row>
    <row r="1343" spans="41:52" x14ac:dyDescent="0.3">
      <c r="AO1343" s="62"/>
      <c r="AZ1343" s="284">
        <v>0.13420000000000001</v>
      </c>
    </row>
    <row r="1344" spans="41:52" x14ac:dyDescent="0.3">
      <c r="AO1344" s="62"/>
      <c r="AZ1344" s="284">
        <v>0.1343</v>
      </c>
    </row>
    <row r="1345" spans="41:52" x14ac:dyDescent="0.3">
      <c r="AO1345" s="62"/>
      <c r="AZ1345" s="284">
        <v>0.13439999999999999</v>
      </c>
    </row>
    <row r="1346" spans="41:52" x14ac:dyDescent="0.3">
      <c r="AO1346" s="62"/>
      <c r="AZ1346" s="284">
        <v>0.13450000000000001</v>
      </c>
    </row>
    <row r="1347" spans="41:52" x14ac:dyDescent="0.3">
      <c r="AO1347" s="62"/>
      <c r="AZ1347" s="284">
        <v>0.1346</v>
      </c>
    </row>
    <row r="1348" spans="41:52" x14ac:dyDescent="0.3">
      <c r="AO1348" s="62"/>
      <c r="AZ1348" s="284">
        <v>0.13469999999999999</v>
      </c>
    </row>
    <row r="1349" spans="41:52" x14ac:dyDescent="0.3">
      <c r="AO1349" s="62"/>
      <c r="AZ1349" s="284">
        <v>0.1348</v>
      </c>
    </row>
    <row r="1350" spans="41:52" x14ac:dyDescent="0.3">
      <c r="AO1350" s="62"/>
      <c r="AZ1350" s="284">
        <v>0.13489999999999999</v>
      </c>
    </row>
    <row r="1351" spans="41:52" x14ac:dyDescent="0.3">
      <c r="AO1351" s="62"/>
      <c r="AZ1351" s="284">
        <v>0.13500000000000001</v>
      </c>
    </row>
    <row r="1352" spans="41:52" x14ac:dyDescent="0.3">
      <c r="AO1352" s="62"/>
      <c r="AZ1352" s="284">
        <v>0.1351</v>
      </c>
    </row>
    <row r="1353" spans="41:52" x14ac:dyDescent="0.3">
      <c r="AO1353" s="62"/>
      <c r="AZ1353" s="284">
        <v>0.13519999999999999</v>
      </c>
    </row>
    <row r="1354" spans="41:52" x14ac:dyDescent="0.3">
      <c r="AO1354" s="62"/>
      <c r="AZ1354" s="284">
        <v>0.1353</v>
      </c>
    </row>
    <row r="1355" spans="41:52" x14ac:dyDescent="0.3">
      <c r="AO1355" s="62"/>
      <c r="AZ1355" s="284">
        <v>0.13539999999999999</v>
      </c>
    </row>
    <row r="1356" spans="41:52" x14ac:dyDescent="0.3">
      <c r="AO1356" s="62"/>
      <c r="AZ1356" s="284">
        <v>0.13550000000000001</v>
      </c>
    </row>
    <row r="1357" spans="41:52" x14ac:dyDescent="0.3">
      <c r="AO1357" s="62"/>
      <c r="AZ1357" s="284">
        <v>0.1356</v>
      </c>
    </row>
    <row r="1358" spans="41:52" x14ac:dyDescent="0.3">
      <c r="AO1358" s="62"/>
      <c r="AZ1358" s="284">
        <v>0.13569999999999999</v>
      </c>
    </row>
    <row r="1359" spans="41:52" x14ac:dyDescent="0.3">
      <c r="AO1359" s="62"/>
      <c r="AZ1359" s="284">
        <v>0.1358</v>
      </c>
    </row>
    <row r="1360" spans="41:52" x14ac:dyDescent="0.3">
      <c r="AO1360" s="62"/>
      <c r="AZ1360" s="284">
        <v>0.13589999999999999</v>
      </c>
    </row>
    <row r="1361" spans="41:52" x14ac:dyDescent="0.3">
      <c r="AO1361" s="62"/>
      <c r="AZ1361" s="284">
        <v>0.13600000000000001</v>
      </c>
    </row>
    <row r="1362" spans="41:52" x14ac:dyDescent="0.3">
      <c r="AO1362" s="62"/>
      <c r="AZ1362" s="284">
        <v>0.1361</v>
      </c>
    </row>
    <row r="1363" spans="41:52" x14ac:dyDescent="0.3">
      <c r="AO1363" s="62"/>
      <c r="AZ1363" s="284">
        <v>0.13619999999999999</v>
      </c>
    </row>
    <row r="1364" spans="41:52" x14ac:dyDescent="0.3">
      <c r="AO1364" s="62"/>
      <c r="AZ1364" s="284">
        <v>0.1363</v>
      </c>
    </row>
    <row r="1365" spans="41:52" x14ac:dyDescent="0.3">
      <c r="AO1365" s="62"/>
      <c r="AZ1365" s="284">
        <v>0.13639999999999999</v>
      </c>
    </row>
    <row r="1366" spans="41:52" x14ac:dyDescent="0.3">
      <c r="AO1366" s="62"/>
      <c r="AZ1366" s="284">
        <v>0.13650000000000001</v>
      </c>
    </row>
    <row r="1367" spans="41:52" x14ac:dyDescent="0.3">
      <c r="AO1367" s="62"/>
      <c r="AZ1367" s="284">
        <v>0.1366</v>
      </c>
    </row>
    <row r="1368" spans="41:52" x14ac:dyDescent="0.3">
      <c r="AO1368" s="62"/>
      <c r="AZ1368" s="284">
        <v>0.13669999999999999</v>
      </c>
    </row>
    <row r="1369" spans="41:52" x14ac:dyDescent="0.3">
      <c r="AO1369" s="62"/>
      <c r="AZ1369" s="284">
        <v>0.1368</v>
      </c>
    </row>
    <row r="1370" spans="41:52" x14ac:dyDescent="0.3">
      <c r="AO1370" s="62"/>
      <c r="AZ1370" s="284">
        <v>0.13689999999999999</v>
      </c>
    </row>
    <row r="1371" spans="41:52" x14ac:dyDescent="0.3">
      <c r="AO1371" s="62"/>
      <c r="AZ1371" s="284">
        <v>0.13700000000000001</v>
      </c>
    </row>
    <row r="1372" spans="41:52" x14ac:dyDescent="0.3">
      <c r="AO1372" s="62"/>
      <c r="AZ1372" s="284">
        <v>0.1371</v>
      </c>
    </row>
    <row r="1373" spans="41:52" x14ac:dyDescent="0.3">
      <c r="AO1373" s="62"/>
      <c r="AZ1373" s="284">
        <v>0.13719999999999999</v>
      </c>
    </row>
    <row r="1374" spans="41:52" x14ac:dyDescent="0.3">
      <c r="AO1374" s="62"/>
      <c r="AZ1374" s="284">
        <v>0.13730000000000001</v>
      </c>
    </row>
    <row r="1375" spans="41:52" x14ac:dyDescent="0.3">
      <c r="AO1375" s="62"/>
      <c r="AZ1375" s="284">
        <v>0.13739999999999999</v>
      </c>
    </row>
    <row r="1376" spans="41:52" x14ac:dyDescent="0.3">
      <c r="AO1376" s="62"/>
      <c r="AZ1376" s="284">
        <v>0.13750000000000001</v>
      </c>
    </row>
    <row r="1377" spans="41:52" x14ac:dyDescent="0.3">
      <c r="AO1377" s="62"/>
      <c r="AZ1377" s="284">
        <v>0.1376</v>
      </c>
    </row>
    <row r="1378" spans="41:52" x14ac:dyDescent="0.3">
      <c r="AO1378" s="62"/>
      <c r="AZ1378" s="284">
        <v>0.13769999999999999</v>
      </c>
    </row>
    <row r="1379" spans="41:52" x14ac:dyDescent="0.3">
      <c r="AO1379" s="62"/>
      <c r="AZ1379" s="284">
        <v>0.13780000000000001</v>
      </c>
    </row>
    <row r="1380" spans="41:52" x14ac:dyDescent="0.3">
      <c r="AO1380" s="62"/>
      <c r="AZ1380" s="284">
        <v>0.13789999999999999</v>
      </c>
    </row>
    <row r="1381" spans="41:52" x14ac:dyDescent="0.3">
      <c r="AO1381" s="62"/>
      <c r="AZ1381" s="284">
        <v>0.13800000000000001</v>
      </c>
    </row>
    <row r="1382" spans="41:52" x14ac:dyDescent="0.3">
      <c r="AO1382" s="62"/>
      <c r="AZ1382" s="284">
        <v>0.1381</v>
      </c>
    </row>
    <row r="1383" spans="41:52" x14ac:dyDescent="0.3">
      <c r="AO1383" s="62"/>
      <c r="AZ1383" s="284">
        <v>0.13819999999999999</v>
      </c>
    </row>
    <row r="1384" spans="41:52" x14ac:dyDescent="0.3">
      <c r="AO1384" s="62"/>
      <c r="AZ1384" s="284">
        <v>0.13830000000000001</v>
      </c>
    </row>
    <row r="1385" spans="41:52" x14ac:dyDescent="0.3">
      <c r="AO1385" s="62"/>
      <c r="AZ1385" s="284">
        <v>0.1384</v>
      </c>
    </row>
    <row r="1386" spans="41:52" x14ac:dyDescent="0.3">
      <c r="AO1386" s="62"/>
      <c r="AZ1386" s="284">
        <v>0.13850000000000001</v>
      </c>
    </row>
    <row r="1387" spans="41:52" x14ac:dyDescent="0.3">
      <c r="AO1387" s="62"/>
      <c r="AZ1387" s="284">
        <v>0.1386</v>
      </c>
    </row>
    <row r="1388" spans="41:52" x14ac:dyDescent="0.3">
      <c r="AO1388" s="62"/>
      <c r="AZ1388" s="284">
        <v>0.13869999999999999</v>
      </c>
    </row>
    <row r="1389" spans="41:52" x14ac:dyDescent="0.3">
      <c r="AO1389" s="62"/>
      <c r="AZ1389" s="284">
        <v>0.13880000000000001</v>
      </c>
    </row>
    <row r="1390" spans="41:52" x14ac:dyDescent="0.3">
      <c r="AO1390" s="62"/>
      <c r="AZ1390" s="284">
        <v>0.1389</v>
      </c>
    </row>
    <row r="1391" spans="41:52" x14ac:dyDescent="0.3">
      <c r="AO1391" s="62"/>
      <c r="AZ1391" s="284">
        <v>0.13900000000000001</v>
      </c>
    </row>
    <row r="1392" spans="41:52" x14ac:dyDescent="0.3">
      <c r="AO1392" s="62"/>
      <c r="AZ1392" s="284">
        <v>0.1391</v>
      </c>
    </row>
    <row r="1393" spans="41:52" x14ac:dyDescent="0.3">
      <c r="AO1393" s="62"/>
      <c r="AZ1393" s="284">
        <v>0.13919999999999999</v>
      </c>
    </row>
    <row r="1394" spans="41:52" x14ac:dyDescent="0.3">
      <c r="AO1394" s="62"/>
      <c r="AZ1394" s="284">
        <v>0.13930000000000001</v>
      </c>
    </row>
    <row r="1395" spans="41:52" x14ac:dyDescent="0.3">
      <c r="AO1395" s="62"/>
      <c r="AZ1395" s="284">
        <v>0.1394</v>
      </c>
    </row>
    <row r="1396" spans="41:52" x14ac:dyDescent="0.3">
      <c r="AO1396" s="62"/>
      <c r="AZ1396" s="284">
        <v>0.13950000000000001</v>
      </c>
    </row>
    <row r="1397" spans="41:52" x14ac:dyDescent="0.3">
      <c r="AO1397" s="62"/>
      <c r="AZ1397" s="284">
        <v>0.1396</v>
      </c>
    </row>
    <row r="1398" spans="41:52" x14ac:dyDescent="0.3">
      <c r="AO1398" s="62"/>
      <c r="AZ1398" s="284">
        <v>0.13969999999999999</v>
      </c>
    </row>
    <row r="1399" spans="41:52" x14ac:dyDescent="0.3">
      <c r="AO1399" s="62"/>
      <c r="AZ1399" s="284">
        <v>0.13980000000000001</v>
      </c>
    </row>
    <row r="1400" spans="41:52" x14ac:dyDescent="0.3">
      <c r="AO1400" s="62"/>
      <c r="AZ1400" s="284">
        <v>0.1399</v>
      </c>
    </row>
    <row r="1401" spans="41:52" x14ac:dyDescent="0.3">
      <c r="AO1401" s="62"/>
      <c r="AZ1401" s="284">
        <v>0.14000000000000001</v>
      </c>
    </row>
    <row r="1402" spans="41:52" x14ac:dyDescent="0.3">
      <c r="AO1402" s="62"/>
      <c r="AZ1402" s="284">
        <v>0.1401</v>
      </c>
    </row>
    <row r="1403" spans="41:52" x14ac:dyDescent="0.3">
      <c r="AO1403" s="62"/>
      <c r="AZ1403" s="284">
        <v>0.14019999999999999</v>
      </c>
    </row>
    <row r="1404" spans="41:52" x14ac:dyDescent="0.3">
      <c r="AO1404" s="62"/>
      <c r="AZ1404" s="284">
        <v>0.14030000000000001</v>
      </c>
    </row>
    <row r="1405" spans="41:52" x14ac:dyDescent="0.3">
      <c r="AO1405" s="62"/>
      <c r="AZ1405" s="284">
        <v>0.1404</v>
      </c>
    </row>
    <row r="1406" spans="41:52" x14ac:dyDescent="0.3">
      <c r="AO1406" s="62"/>
      <c r="AZ1406" s="284">
        <v>0.14050000000000001</v>
      </c>
    </row>
    <row r="1407" spans="41:52" x14ac:dyDescent="0.3">
      <c r="AO1407" s="62"/>
      <c r="AZ1407" s="284">
        <v>0.1406</v>
      </c>
    </row>
    <row r="1408" spans="41:52" x14ac:dyDescent="0.3">
      <c r="AO1408" s="62"/>
      <c r="AZ1408" s="284">
        <v>0.14069999999999999</v>
      </c>
    </row>
    <row r="1409" spans="41:52" x14ac:dyDescent="0.3">
      <c r="AO1409" s="62"/>
      <c r="AZ1409" s="284">
        <v>0.14080000000000001</v>
      </c>
    </row>
    <row r="1410" spans="41:52" x14ac:dyDescent="0.3">
      <c r="AO1410" s="62"/>
      <c r="AZ1410" s="284">
        <v>0.1409</v>
      </c>
    </row>
    <row r="1411" spans="41:52" x14ac:dyDescent="0.3">
      <c r="AO1411" s="62"/>
      <c r="AZ1411" s="284">
        <v>0.14099999999999999</v>
      </c>
    </row>
    <row r="1412" spans="41:52" x14ac:dyDescent="0.3">
      <c r="AO1412" s="62"/>
      <c r="AZ1412" s="284">
        <v>0.1411</v>
      </c>
    </row>
    <row r="1413" spans="41:52" x14ac:dyDescent="0.3">
      <c r="AO1413" s="62"/>
      <c r="AZ1413" s="284">
        <v>0.14119999999999999</v>
      </c>
    </row>
    <row r="1414" spans="41:52" x14ac:dyDescent="0.3">
      <c r="AO1414" s="62"/>
      <c r="AZ1414" s="284">
        <v>0.14130000000000001</v>
      </c>
    </row>
    <row r="1415" spans="41:52" x14ac:dyDescent="0.3">
      <c r="AO1415" s="62"/>
      <c r="AZ1415" s="284">
        <v>0.1414</v>
      </c>
    </row>
    <row r="1416" spans="41:52" x14ac:dyDescent="0.3">
      <c r="AO1416" s="62"/>
      <c r="AZ1416" s="284">
        <v>0.14149999999999999</v>
      </c>
    </row>
    <row r="1417" spans="41:52" x14ac:dyDescent="0.3">
      <c r="AO1417" s="62"/>
      <c r="AZ1417" s="284">
        <v>0.1416</v>
      </c>
    </row>
    <row r="1418" spans="41:52" x14ac:dyDescent="0.3">
      <c r="AO1418" s="62"/>
      <c r="AZ1418" s="284">
        <v>0.14169999999999999</v>
      </c>
    </row>
    <row r="1419" spans="41:52" x14ac:dyDescent="0.3">
      <c r="AO1419" s="62"/>
      <c r="AZ1419" s="284">
        <v>0.14180000000000001</v>
      </c>
    </row>
    <row r="1420" spans="41:52" x14ac:dyDescent="0.3">
      <c r="AO1420" s="62"/>
      <c r="AZ1420" s="284">
        <v>0.1419</v>
      </c>
    </row>
    <row r="1421" spans="41:52" x14ac:dyDescent="0.3">
      <c r="AO1421" s="62"/>
      <c r="AZ1421" s="284">
        <v>0.14199999999999999</v>
      </c>
    </row>
    <row r="1422" spans="41:52" x14ac:dyDescent="0.3">
      <c r="AO1422" s="62"/>
      <c r="AZ1422" s="284">
        <v>0.1421</v>
      </c>
    </row>
    <row r="1423" spans="41:52" x14ac:dyDescent="0.3">
      <c r="AO1423" s="62"/>
      <c r="AZ1423" s="284">
        <v>0.14219999999999999</v>
      </c>
    </row>
    <row r="1424" spans="41:52" x14ac:dyDescent="0.3">
      <c r="AO1424" s="62"/>
      <c r="AZ1424" s="284">
        <v>0.14230000000000001</v>
      </c>
    </row>
    <row r="1425" spans="41:52" x14ac:dyDescent="0.3">
      <c r="AO1425" s="62"/>
      <c r="AZ1425" s="284">
        <v>0.1424</v>
      </c>
    </row>
    <row r="1426" spans="41:52" x14ac:dyDescent="0.3">
      <c r="AO1426" s="62"/>
      <c r="AZ1426" s="284">
        <v>0.14249999999999999</v>
      </c>
    </row>
    <row r="1427" spans="41:52" x14ac:dyDescent="0.3">
      <c r="AO1427" s="62"/>
      <c r="AZ1427" s="284">
        <v>0.1426</v>
      </c>
    </row>
    <row r="1428" spans="41:52" x14ac:dyDescent="0.3">
      <c r="AO1428" s="62"/>
      <c r="AZ1428" s="284">
        <v>0.14269999999999999</v>
      </c>
    </row>
    <row r="1429" spans="41:52" x14ac:dyDescent="0.3">
      <c r="AO1429" s="62"/>
      <c r="AZ1429" s="284">
        <v>0.14280000000000001</v>
      </c>
    </row>
    <row r="1430" spans="41:52" x14ac:dyDescent="0.3">
      <c r="AO1430" s="62"/>
      <c r="AZ1430" s="284">
        <v>0.1429</v>
      </c>
    </row>
    <row r="1431" spans="41:52" x14ac:dyDescent="0.3">
      <c r="AO1431" s="62"/>
      <c r="AZ1431" s="284">
        <v>0.14299999999999999</v>
      </c>
    </row>
    <row r="1432" spans="41:52" x14ac:dyDescent="0.3">
      <c r="AO1432" s="62"/>
      <c r="AZ1432" s="284">
        <v>0.1431</v>
      </c>
    </row>
    <row r="1433" spans="41:52" x14ac:dyDescent="0.3">
      <c r="AO1433" s="62"/>
      <c r="AZ1433" s="284">
        <v>0.14319999999999999</v>
      </c>
    </row>
    <row r="1434" spans="41:52" x14ac:dyDescent="0.3">
      <c r="AO1434" s="62"/>
      <c r="AZ1434" s="284">
        <v>0.14330000000000001</v>
      </c>
    </row>
    <row r="1435" spans="41:52" x14ac:dyDescent="0.3">
      <c r="AO1435" s="62"/>
      <c r="AZ1435" s="284">
        <v>0.1434</v>
      </c>
    </row>
    <row r="1436" spans="41:52" x14ac:dyDescent="0.3">
      <c r="AO1436" s="62"/>
      <c r="AZ1436" s="284">
        <v>0.14349999999999999</v>
      </c>
    </row>
    <row r="1437" spans="41:52" x14ac:dyDescent="0.3">
      <c r="AO1437" s="62"/>
      <c r="AZ1437" s="284">
        <v>0.14360000000000001</v>
      </c>
    </row>
    <row r="1438" spans="41:52" x14ac:dyDescent="0.3">
      <c r="AO1438" s="62"/>
      <c r="AZ1438" s="284">
        <v>0.14369999999999999</v>
      </c>
    </row>
    <row r="1439" spans="41:52" x14ac:dyDescent="0.3">
      <c r="AO1439" s="62"/>
      <c r="AZ1439" s="284">
        <v>0.14380000000000001</v>
      </c>
    </row>
    <row r="1440" spans="41:52" x14ac:dyDescent="0.3">
      <c r="AO1440" s="62"/>
      <c r="AZ1440" s="284">
        <v>0.1439</v>
      </c>
    </row>
    <row r="1441" spans="41:52" x14ac:dyDescent="0.3">
      <c r="AO1441" s="62"/>
      <c r="AZ1441" s="284">
        <v>0.14399999999999999</v>
      </c>
    </row>
    <row r="1442" spans="41:52" x14ac:dyDescent="0.3">
      <c r="AO1442" s="62"/>
      <c r="AZ1442" s="284">
        <v>0.14410000000000001</v>
      </c>
    </row>
    <row r="1443" spans="41:52" x14ac:dyDescent="0.3">
      <c r="AO1443" s="62"/>
      <c r="AZ1443" s="284">
        <v>0.14419999999999999</v>
      </c>
    </row>
    <row r="1444" spans="41:52" x14ac:dyDescent="0.3">
      <c r="AO1444" s="62"/>
      <c r="AZ1444" s="284">
        <v>0.14430000000000001</v>
      </c>
    </row>
    <row r="1445" spans="41:52" x14ac:dyDescent="0.3">
      <c r="AO1445" s="62"/>
      <c r="AZ1445" s="284">
        <v>0.1444</v>
      </c>
    </row>
    <row r="1446" spans="41:52" x14ac:dyDescent="0.3">
      <c r="AO1446" s="62"/>
      <c r="AZ1446" s="284">
        <v>0.14449999999999999</v>
      </c>
    </row>
    <row r="1447" spans="41:52" x14ac:dyDescent="0.3">
      <c r="AO1447" s="62"/>
      <c r="AZ1447" s="284">
        <v>0.14460000000000001</v>
      </c>
    </row>
    <row r="1448" spans="41:52" x14ac:dyDescent="0.3">
      <c r="AO1448" s="62"/>
      <c r="AZ1448" s="284">
        <v>0.1447</v>
      </c>
    </row>
    <row r="1449" spans="41:52" x14ac:dyDescent="0.3">
      <c r="AO1449" s="62"/>
      <c r="AZ1449" s="284">
        <v>0.14480000000000001</v>
      </c>
    </row>
    <row r="1450" spans="41:52" x14ac:dyDescent="0.3">
      <c r="AO1450" s="62"/>
      <c r="AZ1450" s="284">
        <v>0.1449</v>
      </c>
    </row>
    <row r="1451" spans="41:52" x14ac:dyDescent="0.3">
      <c r="AO1451" s="62"/>
      <c r="AZ1451" s="284">
        <v>0.14499999999999999</v>
      </c>
    </row>
    <row r="1452" spans="41:52" x14ac:dyDescent="0.3">
      <c r="AO1452" s="62"/>
      <c r="AZ1452" s="284">
        <v>0.14510000000000001</v>
      </c>
    </row>
    <row r="1453" spans="41:52" x14ac:dyDescent="0.3">
      <c r="AO1453" s="62"/>
      <c r="AZ1453" s="284">
        <v>0.1452</v>
      </c>
    </row>
    <row r="1454" spans="41:52" x14ac:dyDescent="0.3">
      <c r="AO1454" s="62"/>
      <c r="AZ1454" s="284">
        <v>0.14530000000000001</v>
      </c>
    </row>
    <row r="1455" spans="41:52" x14ac:dyDescent="0.3">
      <c r="AO1455" s="62"/>
      <c r="AZ1455" s="284">
        <v>0.1454</v>
      </c>
    </row>
    <row r="1456" spans="41:52" x14ac:dyDescent="0.3">
      <c r="AO1456" s="62"/>
      <c r="AZ1456" s="284">
        <v>0.14549999999999999</v>
      </c>
    </row>
    <row r="1457" spans="41:52" x14ac:dyDescent="0.3">
      <c r="AO1457" s="62"/>
      <c r="AZ1457" s="284">
        <v>0.14560000000000001</v>
      </c>
    </row>
    <row r="1458" spans="41:52" x14ac:dyDescent="0.3">
      <c r="AO1458" s="62"/>
      <c r="AZ1458" s="284">
        <v>0.1457</v>
      </c>
    </row>
    <row r="1459" spans="41:52" x14ac:dyDescent="0.3">
      <c r="AO1459" s="62"/>
      <c r="AZ1459" s="284">
        <v>0.14580000000000001</v>
      </c>
    </row>
    <row r="1460" spans="41:52" x14ac:dyDescent="0.3">
      <c r="AO1460" s="62"/>
      <c r="AZ1460" s="284">
        <v>0.1459</v>
      </c>
    </row>
    <row r="1461" spans="41:52" x14ac:dyDescent="0.3">
      <c r="AO1461" s="62"/>
      <c r="AZ1461" s="284">
        <v>0.14599999999999999</v>
      </c>
    </row>
    <row r="1462" spans="41:52" x14ac:dyDescent="0.3">
      <c r="AO1462" s="62"/>
      <c r="AZ1462" s="284">
        <v>0.14610000000000001</v>
      </c>
    </row>
    <row r="1463" spans="41:52" x14ac:dyDescent="0.3">
      <c r="AO1463" s="62"/>
      <c r="AZ1463" s="284">
        <v>0.1462</v>
      </c>
    </row>
    <row r="1464" spans="41:52" x14ac:dyDescent="0.3">
      <c r="AO1464" s="62"/>
      <c r="AZ1464" s="284">
        <v>0.14630000000000001</v>
      </c>
    </row>
    <row r="1465" spans="41:52" x14ac:dyDescent="0.3">
      <c r="AO1465" s="62"/>
      <c r="AZ1465" s="284">
        <v>0.1464</v>
      </c>
    </row>
    <row r="1466" spans="41:52" x14ac:dyDescent="0.3">
      <c r="AO1466" s="62"/>
      <c r="AZ1466" s="284">
        <v>0.14649999999999999</v>
      </c>
    </row>
    <row r="1467" spans="41:52" x14ac:dyDescent="0.3">
      <c r="AO1467" s="62"/>
      <c r="AZ1467" s="284">
        <v>0.14660000000000001</v>
      </c>
    </row>
    <row r="1468" spans="41:52" x14ac:dyDescent="0.3">
      <c r="AO1468" s="62"/>
      <c r="AZ1468" s="284">
        <v>0.1467</v>
      </c>
    </row>
    <row r="1469" spans="41:52" x14ac:dyDescent="0.3">
      <c r="AO1469" s="62"/>
      <c r="AZ1469" s="284">
        <v>0.14680000000000001</v>
      </c>
    </row>
    <row r="1470" spans="41:52" x14ac:dyDescent="0.3">
      <c r="AO1470" s="62"/>
      <c r="AZ1470" s="284">
        <v>0.1469</v>
      </c>
    </row>
    <row r="1471" spans="41:52" x14ac:dyDescent="0.3">
      <c r="AO1471" s="62"/>
      <c r="AZ1471" s="284">
        <v>0.14699999999999999</v>
      </c>
    </row>
    <row r="1472" spans="41:52" x14ac:dyDescent="0.3">
      <c r="AO1472" s="62"/>
      <c r="AZ1472" s="284">
        <v>0.14710000000000001</v>
      </c>
    </row>
    <row r="1473" spans="41:52" x14ac:dyDescent="0.3">
      <c r="AO1473" s="62"/>
      <c r="AZ1473" s="284">
        <v>0.1472</v>
      </c>
    </row>
    <row r="1474" spans="41:52" x14ac:dyDescent="0.3">
      <c r="AO1474" s="62"/>
      <c r="AZ1474" s="284">
        <v>0.14729999999999999</v>
      </c>
    </row>
    <row r="1475" spans="41:52" x14ac:dyDescent="0.3">
      <c r="AO1475" s="62"/>
      <c r="AZ1475" s="284">
        <v>0.1474</v>
      </c>
    </row>
    <row r="1476" spans="41:52" x14ac:dyDescent="0.3">
      <c r="AO1476" s="62"/>
      <c r="AZ1476" s="284">
        <v>0.14749999999999999</v>
      </c>
    </row>
    <row r="1477" spans="41:52" x14ac:dyDescent="0.3">
      <c r="AO1477" s="62"/>
      <c r="AZ1477" s="284">
        <v>0.14760000000000001</v>
      </c>
    </row>
    <row r="1478" spans="41:52" x14ac:dyDescent="0.3">
      <c r="AO1478" s="62"/>
      <c r="AZ1478" s="284">
        <v>0.1477</v>
      </c>
    </row>
    <row r="1479" spans="41:52" x14ac:dyDescent="0.3">
      <c r="AO1479" s="62"/>
      <c r="AZ1479" s="284">
        <v>0.14779999999999999</v>
      </c>
    </row>
    <row r="1480" spans="41:52" x14ac:dyDescent="0.3">
      <c r="AO1480" s="62"/>
      <c r="AZ1480" s="284">
        <v>0.1479</v>
      </c>
    </row>
    <row r="1481" spans="41:52" x14ac:dyDescent="0.3">
      <c r="AO1481" s="62"/>
      <c r="AZ1481" s="284">
        <v>0.14799999999999999</v>
      </c>
    </row>
    <row r="1482" spans="41:52" x14ac:dyDescent="0.3">
      <c r="AO1482" s="62"/>
      <c r="AZ1482" s="284">
        <v>0.14810000000000001</v>
      </c>
    </row>
    <row r="1483" spans="41:52" x14ac:dyDescent="0.3">
      <c r="AO1483" s="62"/>
      <c r="AZ1483" s="284">
        <v>0.1482</v>
      </c>
    </row>
    <row r="1484" spans="41:52" x14ac:dyDescent="0.3">
      <c r="AO1484" s="62"/>
      <c r="AZ1484" s="284">
        <v>0.14829999999999999</v>
      </c>
    </row>
    <row r="1485" spans="41:52" x14ac:dyDescent="0.3">
      <c r="AO1485" s="62"/>
      <c r="AZ1485" s="284">
        <v>0.1484</v>
      </c>
    </row>
    <row r="1486" spans="41:52" x14ac:dyDescent="0.3">
      <c r="AO1486" s="62"/>
      <c r="AZ1486" s="284">
        <v>0.14849999999999999</v>
      </c>
    </row>
    <row r="1487" spans="41:52" x14ac:dyDescent="0.3">
      <c r="AO1487" s="62"/>
      <c r="AZ1487" s="284">
        <v>0.14860000000000001</v>
      </c>
    </row>
    <row r="1488" spans="41:52" x14ac:dyDescent="0.3">
      <c r="AO1488" s="62"/>
      <c r="AZ1488" s="284">
        <v>0.1487</v>
      </c>
    </row>
    <row r="1489" spans="41:52" x14ac:dyDescent="0.3">
      <c r="AO1489" s="62"/>
      <c r="AZ1489" s="284">
        <v>0.14879999999999999</v>
      </c>
    </row>
    <row r="1490" spans="41:52" x14ac:dyDescent="0.3">
      <c r="AO1490" s="62"/>
      <c r="AZ1490" s="284">
        <v>0.1489</v>
      </c>
    </row>
    <row r="1491" spans="41:52" x14ac:dyDescent="0.3">
      <c r="AO1491" s="62"/>
      <c r="AZ1491" s="284">
        <v>0.14899999999999999</v>
      </c>
    </row>
    <row r="1492" spans="41:52" x14ac:dyDescent="0.3">
      <c r="AO1492" s="62"/>
      <c r="AZ1492" s="284">
        <v>0.14910000000000001</v>
      </c>
    </row>
    <row r="1493" spans="41:52" x14ac:dyDescent="0.3">
      <c r="AO1493" s="62"/>
      <c r="AZ1493" s="284">
        <v>0.1492</v>
      </c>
    </row>
    <row r="1494" spans="41:52" x14ac:dyDescent="0.3">
      <c r="AO1494" s="62"/>
      <c r="AZ1494" s="284">
        <v>0.14929999999999999</v>
      </c>
    </row>
    <row r="1495" spans="41:52" x14ac:dyDescent="0.3">
      <c r="AO1495" s="62"/>
      <c r="AZ1495" s="284">
        <v>0.14940000000000001</v>
      </c>
    </row>
    <row r="1496" spans="41:52" x14ac:dyDescent="0.3">
      <c r="AO1496" s="62"/>
      <c r="AZ1496" s="284">
        <v>0.14949999999999999</v>
      </c>
    </row>
    <row r="1497" spans="41:52" x14ac:dyDescent="0.3">
      <c r="AO1497" s="62"/>
      <c r="AZ1497" s="284">
        <v>0.14960000000000001</v>
      </c>
    </row>
    <row r="1498" spans="41:52" x14ac:dyDescent="0.3">
      <c r="AO1498" s="62"/>
      <c r="AZ1498" s="284">
        <v>0.1497</v>
      </c>
    </row>
    <row r="1499" spans="41:52" x14ac:dyDescent="0.3">
      <c r="AO1499" s="62"/>
      <c r="AZ1499" s="284">
        <v>0.14979999999999999</v>
      </c>
    </row>
    <row r="1500" spans="41:52" x14ac:dyDescent="0.3">
      <c r="AO1500" s="62"/>
      <c r="AZ1500" s="284">
        <v>0.14990000000000001</v>
      </c>
    </row>
    <row r="1501" spans="41:52" x14ac:dyDescent="0.3">
      <c r="AO1501" s="62"/>
      <c r="AZ1501" s="284">
        <v>0.15</v>
      </c>
    </row>
    <row r="1502" spans="41:52" x14ac:dyDescent="0.3">
      <c r="AO1502" s="62"/>
      <c r="AZ1502" s="284">
        <v>0.15010000000000001</v>
      </c>
    </row>
    <row r="1503" spans="41:52" x14ac:dyDescent="0.3">
      <c r="AO1503" s="62"/>
      <c r="AZ1503" s="284">
        <v>0.1502</v>
      </c>
    </row>
    <row r="1504" spans="41:52" x14ac:dyDescent="0.3">
      <c r="AO1504" s="62"/>
      <c r="AZ1504" s="284">
        <v>0.15029999999999999</v>
      </c>
    </row>
    <row r="1505" spans="41:52" x14ac:dyDescent="0.3">
      <c r="AO1505" s="62"/>
      <c r="AZ1505" s="284">
        <v>0.15040000000000001</v>
      </c>
    </row>
    <row r="1506" spans="41:52" x14ac:dyDescent="0.3">
      <c r="AO1506" s="62"/>
      <c r="AZ1506" s="284">
        <v>0.15049999999999999</v>
      </c>
    </row>
    <row r="1507" spans="41:52" x14ac:dyDescent="0.3">
      <c r="AO1507" s="62"/>
      <c r="AZ1507" s="284">
        <v>0.15060000000000001</v>
      </c>
    </row>
    <row r="1508" spans="41:52" x14ac:dyDescent="0.3">
      <c r="AO1508" s="62"/>
      <c r="AZ1508" s="284">
        <v>0.1507</v>
      </c>
    </row>
    <row r="1509" spans="41:52" x14ac:dyDescent="0.3">
      <c r="AO1509" s="62"/>
      <c r="AZ1509" s="284">
        <v>0.15079999999999999</v>
      </c>
    </row>
    <row r="1510" spans="41:52" x14ac:dyDescent="0.3">
      <c r="AO1510" s="62"/>
      <c r="AZ1510" s="284">
        <v>0.15090000000000001</v>
      </c>
    </row>
    <row r="1511" spans="41:52" x14ac:dyDescent="0.3">
      <c r="AO1511" s="62"/>
      <c r="AZ1511" s="284">
        <v>0.151</v>
      </c>
    </row>
    <row r="1512" spans="41:52" x14ac:dyDescent="0.3">
      <c r="AO1512" s="62"/>
      <c r="AZ1512" s="284">
        <v>0.15110000000000001</v>
      </c>
    </row>
    <row r="1513" spans="41:52" x14ac:dyDescent="0.3">
      <c r="AO1513" s="62"/>
      <c r="AZ1513" s="284">
        <v>0.1512</v>
      </c>
    </row>
    <row r="1514" spans="41:52" x14ac:dyDescent="0.3">
      <c r="AO1514" s="62"/>
      <c r="AZ1514" s="284">
        <v>0.15129999999999999</v>
      </c>
    </row>
    <row r="1515" spans="41:52" x14ac:dyDescent="0.3">
      <c r="AO1515" s="62"/>
      <c r="AZ1515" s="284">
        <v>0.15140000000000001</v>
      </c>
    </row>
    <row r="1516" spans="41:52" x14ac:dyDescent="0.3">
      <c r="AO1516" s="62"/>
      <c r="AZ1516" s="284">
        <v>0.1515</v>
      </c>
    </row>
    <row r="1517" spans="41:52" x14ac:dyDescent="0.3">
      <c r="AO1517" s="62"/>
      <c r="AZ1517" s="284">
        <v>0.15160000000000001</v>
      </c>
    </row>
    <row r="1518" spans="41:52" x14ac:dyDescent="0.3">
      <c r="AO1518" s="62"/>
      <c r="AZ1518" s="284">
        <v>0.1517</v>
      </c>
    </row>
    <row r="1519" spans="41:52" x14ac:dyDescent="0.3">
      <c r="AO1519" s="62"/>
      <c r="AZ1519" s="284">
        <v>0.15179999999999999</v>
      </c>
    </row>
    <row r="1520" spans="41:52" x14ac:dyDescent="0.3">
      <c r="AO1520" s="62"/>
      <c r="AZ1520" s="284">
        <v>0.15190000000000001</v>
      </c>
    </row>
    <row r="1521" spans="41:52" x14ac:dyDescent="0.3">
      <c r="AO1521" s="62"/>
      <c r="AZ1521" s="284">
        <v>0.152</v>
      </c>
    </row>
    <row r="1522" spans="41:52" x14ac:dyDescent="0.3">
      <c r="AO1522" s="62"/>
      <c r="AZ1522" s="284">
        <v>0.15210000000000001</v>
      </c>
    </row>
    <row r="1523" spans="41:52" x14ac:dyDescent="0.3">
      <c r="AO1523" s="62"/>
      <c r="AZ1523" s="284">
        <v>0.1522</v>
      </c>
    </row>
    <row r="1524" spans="41:52" x14ac:dyDescent="0.3">
      <c r="AO1524" s="62"/>
      <c r="AZ1524" s="284">
        <v>0.15229999999999999</v>
      </c>
    </row>
    <row r="1525" spans="41:52" x14ac:dyDescent="0.3">
      <c r="AO1525" s="62"/>
      <c r="AZ1525" s="284">
        <v>0.15240000000000001</v>
      </c>
    </row>
    <row r="1526" spans="41:52" x14ac:dyDescent="0.3">
      <c r="AO1526" s="62"/>
      <c r="AZ1526" s="284">
        <v>0.1525</v>
      </c>
    </row>
    <row r="1527" spans="41:52" x14ac:dyDescent="0.3">
      <c r="AO1527" s="62"/>
      <c r="AZ1527" s="284">
        <v>0.15260000000000001</v>
      </c>
    </row>
    <row r="1528" spans="41:52" x14ac:dyDescent="0.3">
      <c r="AO1528" s="62"/>
      <c r="AZ1528" s="284">
        <v>0.1527</v>
      </c>
    </row>
    <row r="1529" spans="41:52" x14ac:dyDescent="0.3">
      <c r="AO1529" s="62"/>
      <c r="AZ1529" s="284">
        <v>0.15279999999999999</v>
      </c>
    </row>
    <row r="1530" spans="41:52" x14ac:dyDescent="0.3">
      <c r="AO1530" s="62"/>
      <c r="AZ1530" s="284">
        <v>0.15290000000000001</v>
      </c>
    </row>
    <row r="1531" spans="41:52" x14ac:dyDescent="0.3">
      <c r="AO1531" s="62"/>
      <c r="AZ1531" s="284">
        <v>0.153</v>
      </c>
    </row>
    <row r="1532" spans="41:52" x14ac:dyDescent="0.3">
      <c r="AO1532" s="62"/>
      <c r="AZ1532" s="284">
        <v>0.15310000000000001</v>
      </c>
    </row>
    <row r="1533" spans="41:52" x14ac:dyDescent="0.3">
      <c r="AO1533" s="62"/>
      <c r="AZ1533" s="284">
        <v>0.1532</v>
      </c>
    </row>
    <row r="1534" spans="41:52" x14ac:dyDescent="0.3">
      <c r="AO1534" s="62"/>
      <c r="AZ1534" s="284">
        <v>0.15329999999999999</v>
      </c>
    </row>
    <row r="1535" spans="41:52" x14ac:dyDescent="0.3">
      <c r="AO1535" s="62"/>
      <c r="AZ1535" s="284">
        <v>0.15340000000000001</v>
      </c>
    </row>
    <row r="1536" spans="41:52" x14ac:dyDescent="0.3">
      <c r="AO1536" s="62"/>
      <c r="AZ1536" s="284">
        <v>0.1535</v>
      </c>
    </row>
    <row r="1537" spans="41:52" x14ac:dyDescent="0.3">
      <c r="AO1537" s="62"/>
      <c r="AZ1537" s="284">
        <v>0.15359999999999999</v>
      </c>
    </row>
    <row r="1538" spans="41:52" x14ac:dyDescent="0.3">
      <c r="AO1538" s="62"/>
      <c r="AZ1538" s="284">
        <v>0.1537</v>
      </c>
    </row>
    <row r="1539" spans="41:52" x14ac:dyDescent="0.3">
      <c r="AO1539" s="62"/>
      <c r="AZ1539" s="284">
        <v>0.15379999999999999</v>
      </c>
    </row>
    <row r="1540" spans="41:52" x14ac:dyDescent="0.3">
      <c r="AO1540" s="62"/>
      <c r="AZ1540" s="284">
        <v>0.15390000000000001</v>
      </c>
    </row>
    <row r="1541" spans="41:52" x14ac:dyDescent="0.3">
      <c r="AO1541" s="62"/>
      <c r="AZ1541" s="284">
        <v>0.154</v>
      </c>
    </row>
    <row r="1542" spans="41:52" x14ac:dyDescent="0.3">
      <c r="AO1542" s="62"/>
      <c r="AZ1542" s="284">
        <v>0.15409999999999999</v>
      </c>
    </row>
    <row r="1543" spans="41:52" x14ac:dyDescent="0.3">
      <c r="AO1543" s="62"/>
      <c r="AZ1543" s="284">
        <v>0.1542</v>
      </c>
    </row>
    <row r="1544" spans="41:52" x14ac:dyDescent="0.3">
      <c r="AO1544" s="62"/>
      <c r="AZ1544" s="284">
        <v>0.15429999999999999</v>
      </c>
    </row>
    <row r="1545" spans="41:52" x14ac:dyDescent="0.3">
      <c r="AO1545" s="62"/>
      <c r="AZ1545" s="284">
        <v>0.15440000000000001</v>
      </c>
    </row>
    <row r="1546" spans="41:52" x14ac:dyDescent="0.3">
      <c r="AO1546" s="62"/>
      <c r="AZ1546" s="284">
        <v>0.1545</v>
      </c>
    </row>
    <row r="1547" spans="41:52" x14ac:dyDescent="0.3">
      <c r="AO1547" s="62"/>
      <c r="AZ1547" s="284">
        <v>0.15459999999999999</v>
      </c>
    </row>
    <row r="1548" spans="41:52" x14ac:dyDescent="0.3">
      <c r="AO1548" s="62"/>
      <c r="AZ1548" s="284">
        <v>0.1547</v>
      </c>
    </row>
    <row r="1549" spans="41:52" x14ac:dyDescent="0.3">
      <c r="AO1549" s="62"/>
    </row>
    <row r="1550" spans="41:52" x14ac:dyDescent="0.3">
      <c r="AO1550" s="62"/>
    </row>
    <row r="1551" spans="41:52" x14ac:dyDescent="0.3">
      <c r="AO1551" s="62"/>
    </row>
    <row r="1552" spans="41:52" x14ac:dyDescent="0.3">
      <c r="AO1552" s="62"/>
    </row>
    <row r="1553" spans="41:41" x14ac:dyDescent="0.3">
      <c r="AO1553" s="62"/>
    </row>
    <row r="1554" spans="41:41" x14ac:dyDescent="0.3">
      <c r="AO1554" s="62"/>
    </row>
    <row r="1555" spans="41:41" x14ac:dyDescent="0.3">
      <c r="AO1555" s="62"/>
    </row>
    <row r="1556" spans="41:41" x14ac:dyDescent="0.3">
      <c r="AO1556" s="62"/>
    </row>
    <row r="1557" spans="41:41" x14ac:dyDescent="0.3">
      <c r="AO1557" s="62"/>
    </row>
    <row r="1558" spans="41:41" x14ac:dyDescent="0.3">
      <c r="AO1558" s="62"/>
    </row>
    <row r="1559" spans="41:41" x14ac:dyDescent="0.3">
      <c r="AO1559" s="62"/>
    </row>
    <row r="1560" spans="41:41" x14ac:dyDescent="0.3">
      <c r="AO1560" s="62"/>
    </row>
    <row r="1561" spans="41:41" x14ac:dyDescent="0.3">
      <c r="AO1561" s="62"/>
    </row>
    <row r="1562" spans="41:41" x14ac:dyDescent="0.3">
      <c r="AO1562" s="62"/>
    </row>
    <row r="1563" spans="41:41" x14ac:dyDescent="0.3">
      <c r="AO1563" s="62"/>
    </row>
    <row r="1564" spans="41:41" x14ac:dyDescent="0.3">
      <c r="AO1564" s="62"/>
    </row>
    <row r="1565" spans="41:41" x14ac:dyDescent="0.3">
      <c r="AO1565" s="62"/>
    </row>
    <row r="1566" spans="41:41" x14ac:dyDescent="0.3">
      <c r="AO1566" s="62"/>
    </row>
    <row r="1567" spans="41:41" x14ac:dyDescent="0.3">
      <c r="AO1567" s="62"/>
    </row>
    <row r="1568" spans="41:41" x14ac:dyDescent="0.3">
      <c r="AO1568" s="62"/>
    </row>
    <row r="1569" spans="41:41" x14ac:dyDescent="0.3">
      <c r="AO1569" s="62"/>
    </row>
    <row r="1570" spans="41:41" x14ac:dyDescent="0.3">
      <c r="AO1570" s="62"/>
    </row>
    <row r="1571" spans="41:41" x14ac:dyDescent="0.3">
      <c r="AO1571" s="62"/>
    </row>
    <row r="1572" spans="41:41" x14ac:dyDescent="0.3">
      <c r="AO1572" s="62"/>
    </row>
    <row r="1573" spans="41:41" x14ac:dyDescent="0.3">
      <c r="AO1573" s="62"/>
    </row>
    <row r="1574" spans="41:41" x14ac:dyDescent="0.3">
      <c r="AO1574" s="62"/>
    </row>
    <row r="1575" spans="41:41" x14ac:dyDescent="0.3">
      <c r="AO1575" s="62"/>
    </row>
    <row r="1576" spans="41:41" x14ac:dyDescent="0.3">
      <c r="AO1576" s="62"/>
    </row>
    <row r="1577" spans="41:41" x14ac:dyDescent="0.3">
      <c r="AO1577" s="62"/>
    </row>
    <row r="1578" spans="41:41" x14ac:dyDescent="0.3">
      <c r="AO1578" s="62"/>
    </row>
    <row r="1579" spans="41:41" x14ac:dyDescent="0.3">
      <c r="AO1579" s="62"/>
    </row>
    <row r="1580" spans="41:41" x14ac:dyDescent="0.3">
      <c r="AO1580" s="62"/>
    </row>
    <row r="1581" spans="41:41" x14ac:dyDescent="0.3">
      <c r="AO1581" s="62"/>
    </row>
    <row r="1582" spans="41:41" x14ac:dyDescent="0.3">
      <c r="AO1582" s="62"/>
    </row>
    <row r="1583" spans="41:41" x14ac:dyDescent="0.3">
      <c r="AO1583" s="62"/>
    </row>
    <row r="1584" spans="41:41" x14ac:dyDescent="0.3">
      <c r="AO1584" s="62"/>
    </row>
    <row r="1585" spans="41:41" x14ac:dyDescent="0.3">
      <c r="AO1585" s="62"/>
    </row>
    <row r="1586" spans="41:41" x14ac:dyDescent="0.3">
      <c r="AO1586" s="62"/>
    </row>
    <row r="1587" spans="41:41" x14ac:dyDescent="0.3">
      <c r="AO1587" s="62"/>
    </row>
    <row r="1588" spans="41:41" x14ac:dyDescent="0.3">
      <c r="AO1588" s="62"/>
    </row>
    <row r="1589" spans="41:41" x14ac:dyDescent="0.3">
      <c r="AO1589" s="62"/>
    </row>
    <row r="1590" spans="41:41" x14ac:dyDescent="0.3">
      <c r="AO1590" s="62"/>
    </row>
    <row r="1591" spans="41:41" x14ac:dyDescent="0.3">
      <c r="AO1591" s="62"/>
    </row>
    <row r="1592" spans="41:41" x14ac:dyDescent="0.3">
      <c r="AO1592" s="62"/>
    </row>
    <row r="1593" spans="41:41" x14ac:dyDescent="0.3">
      <c r="AO1593" s="62"/>
    </row>
    <row r="1594" spans="41:41" x14ac:dyDescent="0.3">
      <c r="AO1594" s="62"/>
    </row>
    <row r="1595" spans="41:41" x14ac:dyDescent="0.3">
      <c r="AO1595" s="62"/>
    </row>
    <row r="1596" spans="41:41" x14ac:dyDescent="0.3">
      <c r="AO1596" s="62"/>
    </row>
    <row r="1597" spans="41:41" x14ac:dyDescent="0.3">
      <c r="AO1597" s="62"/>
    </row>
    <row r="1598" spans="41:41" x14ac:dyDescent="0.3">
      <c r="AO1598" s="62"/>
    </row>
    <row r="1599" spans="41:41" x14ac:dyDescent="0.3">
      <c r="AO1599" s="62"/>
    </row>
    <row r="1600" spans="41:41" x14ac:dyDescent="0.3">
      <c r="AO1600" s="62"/>
    </row>
    <row r="1601" spans="41:41" x14ac:dyDescent="0.3">
      <c r="AO1601" s="62"/>
    </row>
    <row r="1602" spans="41:41" x14ac:dyDescent="0.3">
      <c r="AO1602" s="62"/>
    </row>
    <row r="1603" spans="41:41" x14ac:dyDescent="0.3">
      <c r="AO1603" s="62"/>
    </row>
    <row r="1604" spans="41:41" x14ac:dyDescent="0.3">
      <c r="AO1604" s="62"/>
    </row>
    <row r="1605" spans="41:41" x14ac:dyDescent="0.3">
      <c r="AO1605" s="62"/>
    </row>
    <row r="1606" spans="41:41" x14ac:dyDescent="0.3">
      <c r="AO1606" s="62"/>
    </row>
    <row r="1607" spans="41:41" x14ac:dyDescent="0.3">
      <c r="AO1607" s="62"/>
    </row>
    <row r="1608" spans="41:41" x14ac:dyDescent="0.3">
      <c r="AO1608" s="62"/>
    </row>
    <row r="1609" spans="41:41" x14ac:dyDescent="0.3">
      <c r="AO1609" s="62"/>
    </row>
    <row r="1610" spans="41:41" x14ac:dyDescent="0.3">
      <c r="AO1610" s="62"/>
    </row>
    <row r="1611" spans="41:41" x14ac:dyDescent="0.3">
      <c r="AO1611" s="62"/>
    </row>
    <row r="1612" spans="41:41" x14ac:dyDescent="0.3">
      <c r="AO1612" s="62"/>
    </row>
    <row r="1613" spans="41:41" x14ac:dyDescent="0.3">
      <c r="AO1613" s="62"/>
    </row>
    <row r="1614" spans="41:41" x14ac:dyDescent="0.3">
      <c r="AO1614" s="62"/>
    </row>
    <row r="1615" spans="41:41" x14ac:dyDescent="0.3">
      <c r="AO1615" s="62"/>
    </row>
    <row r="1616" spans="41:41" x14ac:dyDescent="0.3">
      <c r="AO1616" s="62"/>
    </row>
    <row r="1617" spans="41:41" x14ac:dyDescent="0.3">
      <c r="AO1617" s="62"/>
    </row>
    <row r="1618" spans="41:41" x14ac:dyDescent="0.3">
      <c r="AO1618" s="62"/>
    </row>
    <row r="1619" spans="41:41" x14ac:dyDescent="0.3">
      <c r="AO1619" s="62"/>
    </row>
    <row r="1620" spans="41:41" x14ac:dyDescent="0.3">
      <c r="AO1620" s="62"/>
    </row>
    <row r="1621" spans="41:41" x14ac:dyDescent="0.3">
      <c r="AO1621" s="62"/>
    </row>
    <row r="1622" spans="41:41" x14ac:dyDescent="0.3">
      <c r="AO1622" s="62"/>
    </row>
    <row r="1623" spans="41:41" x14ac:dyDescent="0.3">
      <c r="AO1623" s="62"/>
    </row>
    <row r="1624" spans="41:41" x14ac:dyDescent="0.3">
      <c r="AO1624" s="62"/>
    </row>
    <row r="1625" spans="41:41" x14ac:dyDescent="0.3">
      <c r="AO1625" s="62"/>
    </row>
    <row r="1626" spans="41:41" x14ac:dyDescent="0.3">
      <c r="AO1626" s="62"/>
    </row>
    <row r="1627" spans="41:41" x14ac:dyDescent="0.3">
      <c r="AO1627" s="62"/>
    </row>
    <row r="1628" spans="41:41" x14ac:dyDescent="0.3">
      <c r="AO1628" s="62"/>
    </row>
    <row r="1629" spans="41:41" x14ac:dyDescent="0.3">
      <c r="AO1629" s="62"/>
    </row>
    <row r="1630" spans="41:41" x14ac:dyDescent="0.3">
      <c r="AO1630" s="62"/>
    </row>
    <row r="1631" spans="41:41" x14ac:dyDescent="0.3">
      <c r="AO1631" s="62"/>
    </row>
    <row r="1632" spans="41:41" x14ac:dyDescent="0.3">
      <c r="AO1632" s="62"/>
    </row>
    <row r="1633" spans="41:41" x14ac:dyDescent="0.3">
      <c r="AO1633" s="62"/>
    </row>
    <row r="1634" spans="41:41" x14ac:dyDescent="0.3">
      <c r="AO1634" s="62"/>
    </row>
    <row r="1635" spans="41:41" x14ac:dyDescent="0.3">
      <c r="AO1635" s="62"/>
    </row>
    <row r="1636" spans="41:41" x14ac:dyDescent="0.3">
      <c r="AO1636" s="62"/>
    </row>
    <row r="1637" spans="41:41" x14ac:dyDescent="0.3">
      <c r="AO1637" s="62"/>
    </row>
    <row r="1638" spans="41:41" x14ac:dyDescent="0.3">
      <c r="AO1638" s="62"/>
    </row>
    <row r="1639" spans="41:41" x14ac:dyDescent="0.3">
      <c r="AO1639" s="62"/>
    </row>
    <row r="1640" spans="41:41" x14ac:dyDescent="0.3">
      <c r="AO1640" s="62"/>
    </row>
    <row r="1641" spans="41:41" x14ac:dyDescent="0.3">
      <c r="AO1641" s="62"/>
    </row>
    <row r="1642" spans="41:41" x14ac:dyDescent="0.3">
      <c r="AO1642" s="62"/>
    </row>
    <row r="1643" spans="41:41" x14ac:dyDescent="0.3">
      <c r="AO1643" s="62"/>
    </row>
    <row r="1644" spans="41:41" x14ac:dyDescent="0.3">
      <c r="AO1644" s="62"/>
    </row>
    <row r="1645" spans="41:41" x14ac:dyDescent="0.3">
      <c r="AO1645" s="62"/>
    </row>
    <row r="1646" spans="41:41" x14ac:dyDescent="0.3">
      <c r="AO1646" s="62"/>
    </row>
    <row r="1647" spans="41:41" x14ac:dyDescent="0.3">
      <c r="AO1647" s="62"/>
    </row>
    <row r="1648" spans="41:41" x14ac:dyDescent="0.3">
      <c r="AO1648" s="62"/>
    </row>
    <row r="1649" spans="41:41" x14ac:dyDescent="0.3">
      <c r="AO1649" s="62"/>
    </row>
    <row r="1650" spans="41:41" x14ac:dyDescent="0.3">
      <c r="AO1650" s="62"/>
    </row>
    <row r="1651" spans="41:41" x14ac:dyDescent="0.3">
      <c r="AO1651" s="62"/>
    </row>
    <row r="1652" spans="41:41" x14ac:dyDescent="0.3">
      <c r="AO1652" s="62"/>
    </row>
    <row r="1653" spans="41:41" x14ac:dyDescent="0.3">
      <c r="AO1653" s="62"/>
    </row>
    <row r="1654" spans="41:41" x14ac:dyDescent="0.3">
      <c r="AO1654" s="62"/>
    </row>
    <row r="1655" spans="41:41" x14ac:dyDescent="0.3">
      <c r="AO1655" s="62"/>
    </row>
    <row r="1656" spans="41:41" x14ac:dyDescent="0.3">
      <c r="AO1656" s="62"/>
    </row>
    <row r="1657" spans="41:41" x14ac:dyDescent="0.3">
      <c r="AO1657" s="62"/>
    </row>
    <row r="1658" spans="41:41" x14ac:dyDescent="0.3">
      <c r="AO1658" s="62"/>
    </row>
    <row r="1659" spans="41:41" x14ac:dyDescent="0.3">
      <c r="AO1659" s="62"/>
    </row>
    <row r="1660" spans="41:41" x14ac:dyDescent="0.3">
      <c r="AO1660" s="62"/>
    </row>
    <row r="1661" spans="41:41" x14ac:dyDescent="0.3">
      <c r="AO1661" s="62"/>
    </row>
    <row r="1662" spans="41:41" x14ac:dyDescent="0.3">
      <c r="AO1662" s="62"/>
    </row>
    <row r="1663" spans="41:41" x14ac:dyDescent="0.3">
      <c r="AO1663" s="62"/>
    </row>
    <row r="1664" spans="41:41" x14ac:dyDescent="0.3">
      <c r="AO1664" s="62"/>
    </row>
    <row r="1665" spans="41:41" x14ac:dyDescent="0.3">
      <c r="AO1665" s="62"/>
    </row>
    <row r="1666" spans="41:41" x14ac:dyDescent="0.3">
      <c r="AO1666" s="62"/>
    </row>
    <row r="1667" spans="41:41" x14ac:dyDescent="0.3">
      <c r="AO1667" s="62"/>
    </row>
    <row r="1668" spans="41:41" x14ac:dyDescent="0.3">
      <c r="AO1668" s="62"/>
    </row>
    <row r="1669" spans="41:41" x14ac:dyDescent="0.3">
      <c r="AO1669" s="62"/>
    </row>
    <row r="1670" spans="41:41" x14ac:dyDescent="0.3">
      <c r="AO1670" s="62"/>
    </row>
    <row r="1671" spans="41:41" x14ac:dyDescent="0.3">
      <c r="AO1671" s="62"/>
    </row>
    <row r="1672" spans="41:41" x14ac:dyDescent="0.3">
      <c r="AO1672" s="62"/>
    </row>
    <row r="1673" spans="41:41" x14ac:dyDescent="0.3">
      <c r="AO1673" s="62"/>
    </row>
    <row r="1674" spans="41:41" x14ac:dyDescent="0.3">
      <c r="AO1674" s="62"/>
    </row>
    <row r="1675" spans="41:41" x14ac:dyDescent="0.3">
      <c r="AO1675" s="62"/>
    </row>
    <row r="1676" spans="41:41" x14ac:dyDescent="0.3">
      <c r="AO1676" s="62"/>
    </row>
    <row r="1677" spans="41:41" x14ac:dyDescent="0.3">
      <c r="AO1677" s="62"/>
    </row>
    <row r="1678" spans="41:41" x14ac:dyDescent="0.3">
      <c r="AO1678" s="62"/>
    </row>
    <row r="1679" spans="41:41" x14ac:dyDescent="0.3">
      <c r="AO1679" s="62"/>
    </row>
    <row r="1680" spans="41:41" x14ac:dyDescent="0.3">
      <c r="AO1680" s="62"/>
    </row>
    <row r="1681" spans="41:41" x14ac:dyDescent="0.3">
      <c r="AO1681" s="62"/>
    </row>
    <row r="1682" spans="41:41" x14ac:dyDescent="0.3">
      <c r="AO1682" s="62"/>
    </row>
    <row r="1683" spans="41:41" x14ac:dyDescent="0.3">
      <c r="AO1683" s="62"/>
    </row>
    <row r="1684" spans="41:41" x14ac:dyDescent="0.3">
      <c r="AO1684" s="62"/>
    </row>
    <row r="1685" spans="41:41" x14ac:dyDescent="0.3">
      <c r="AO1685" s="62"/>
    </row>
    <row r="1686" spans="41:41" x14ac:dyDescent="0.3">
      <c r="AO1686" s="62"/>
    </row>
    <row r="1687" spans="41:41" x14ac:dyDescent="0.3">
      <c r="AO1687" s="62"/>
    </row>
    <row r="1688" spans="41:41" x14ac:dyDescent="0.3">
      <c r="AO1688" s="62"/>
    </row>
    <row r="1689" spans="41:41" x14ac:dyDescent="0.3">
      <c r="AO1689" s="62"/>
    </row>
    <row r="1690" spans="41:41" x14ac:dyDescent="0.3">
      <c r="AO1690" s="62"/>
    </row>
    <row r="1691" spans="41:41" x14ac:dyDescent="0.3">
      <c r="AO1691" s="62"/>
    </row>
    <row r="1692" spans="41:41" x14ac:dyDescent="0.3">
      <c r="AO1692" s="62"/>
    </row>
    <row r="1693" spans="41:41" x14ac:dyDescent="0.3">
      <c r="AO1693" s="62"/>
    </row>
    <row r="1694" spans="41:41" x14ac:dyDescent="0.3">
      <c r="AO1694" s="62"/>
    </row>
    <row r="1695" spans="41:41" x14ac:dyDescent="0.3">
      <c r="AO1695" s="62"/>
    </row>
    <row r="1696" spans="41:41" x14ac:dyDescent="0.3">
      <c r="AO1696" s="62"/>
    </row>
    <row r="1697" spans="41:41" x14ac:dyDescent="0.3">
      <c r="AO1697" s="62"/>
    </row>
    <row r="1698" spans="41:41" x14ac:dyDescent="0.3">
      <c r="AO1698" s="62"/>
    </row>
    <row r="1699" spans="41:41" x14ac:dyDescent="0.3">
      <c r="AO1699" s="62"/>
    </row>
    <row r="1700" spans="41:41" x14ac:dyDescent="0.3">
      <c r="AO1700" s="62"/>
    </row>
    <row r="1701" spans="41:41" x14ac:dyDescent="0.3">
      <c r="AO1701" s="62"/>
    </row>
    <row r="1702" spans="41:41" x14ac:dyDescent="0.3">
      <c r="AO1702" s="62"/>
    </row>
    <row r="1703" spans="41:41" x14ac:dyDescent="0.3">
      <c r="AO1703" s="62"/>
    </row>
    <row r="1704" spans="41:41" x14ac:dyDescent="0.3">
      <c r="AO1704" s="62"/>
    </row>
    <row r="1705" spans="41:41" x14ac:dyDescent="0.3">
      <c r="AO1705" s="62"/>
    </row>
    <row r="1706" spans="41:41" x14ac:dyDescent="0.3">
      <c r="AO1706" s="62"/>
    </row>
    <row r="1707" spans="41:41" x14ac:dyDescent="0.3">
      <c r="AO1707" s="62"/>
    </row>
    <row r="1708" spans="41:41" x14ac:dyDescent="0.3">
      <c r="AO1708" s="62"/>
    </row>
    <row r="1709" spans="41:41" x14ac:dyDescent="0.3">
      <c r="AO1709" s="62"/>
    </row>
    <row r="1710" spans="41:41" x14ac:dyDescent="0.3">
      <c r="AO1710" s="62"/>
    </row>
    <row r="1711" spans="41:41" x14ac:dyDescent="0.3">
      <c r="AO1711" s="62"/>
    </row>
    <row r="1712" spans="41:41" x14ac:dyDescent="0.3">
      <c r="AO1712" s="62"/>
    </row>
    <row r="1713" spans="41:41" x14ac:dyDescent="0.3">
      <c r="AO1713" s="62"/>
    </row>
    <row r="1714" spans="41:41" x14ac:dyDescent="0.3">
      <c r="AO1714" s="62"/>
    </row>
    <row r="1715" spans="41:41" x14ac:dyDescent="0.3">
      <c r="AO1715" s="62"/>
    </row>
    <row r="1716" spans="41:41" x14ac:dyDescent="0.3">
      <c r="AO1716" s="62"/>
    </row>
    <row r="1717" spans="41:41" x14ac:dyDescent="0.3">
      <c r="AO1717" s="62"/>
    </row>
    <row r="1718" spans="41:41" x14ac:dyDescent="0.3">
      <c r="AO1718" s="62"/>
    </row>
    <row r="1719" spans="41:41" x14ac:dyDescent="0.3">
      <c r="AO1719" s="62"/>
    </row>
    <row r="1720" spans="41:41" x14ac:dyDescent="0.3">
      <c r="AO1720" s="62"/>
    </row>
    <row r="1721" spans="41:41" x14ac:dyDescent="0.3">
      <c r="AO1721" s="62"/>
    </row>
    <row r="1722" spans="41:41" x14ac:dyDescent="0.3">
      <c r="AO1722" s="62"/>
    </row>
    <row r="1723" spans="41:41" x14ac:dyDescent="0.3">
      <c r="AO1723" s="62"/>
    </row>
    <row r="1724" spans="41:41" x14ac:dyDescent="0.3">
      <c r="AO1724" s="62"/>
    </row>
    <row r="1725" spans="41:41" x14ac:dyDescent="0.3">
      <c r="AO1725" s="62"/>
    </row>
    <row r="1726" spans="41:41" x14ac:dyDescent="0.3">
      <c r="AO1726" s="62"/>
    </row>
    <row r="1727" spans="41:41" x14ac:dyDescent="0.3">
      <c r="AO1727" s="62"/>
    </row>
    <row r="1728" spans="41:41" x14ac:dyDescent="0.3">
      <c r="AO1728" s="62"/>
    </row>
    <row r="1729" spans="41:41" x14ac:dyDescent="0.3">
      <c r="AO1729" s="62"/>
    </row>
    <row r="1730" spans="41:41" x14ac:dyDescent="0.3">
      <c r="AO1730" s="62"/>
    </row>
    <row r="1731" spans="41:41" x14ac:dyDescent="0.3">
      <c r="AO1731" s="62"/>
    </row>
    <row r="1732" spans="41:41" x14ac:dyDescent="0.3">
      <c r="AO1732" s="62"/>
    </row>
    <row r="1733" spans="41:41" x14ac:dyDescent="0.3">
      <c r="AO1733" s="62"/>
    </row>
    <row r="1734" spans="41:41" x14ac:dyDescent="0.3">
      <c r="AO1734" s="62"/>
    </row>
    <row r="1735" spans="41:41" x14ac:dyDescent="0.3">
      <c r="AO1735" s="62"/>
    </row>
    <row r="1736" spans="41:41" x14ac:dyDescent="0.3">
      <c r="AO1736" s="62"/>
    </row>
    <row r="1737" spans="41:41" x14ac:dyDescent="0.3">
      <c r="AO1737" s="62"/>
    </row>
    <row r="1738" spans="41:41" x14ac:dyDescent="0.3">
      <c r="AO1738" s="62"/>
    </row>
    <row r="1739" spans="41:41" x14ac:dyDescent="0.3">
      <c r="AO1739" s="62"/>
    </row>
    <row r="1740" spans="41:41" x14ac:dyDescent="0.3">
      <c r="AO1740" s="62"/>
    </row>
    <row r="1741" spans="41:41" x14ac:dyDescent="0.3">
      <c r="AO1741" s="62"/>
    </row>
    <row r="1742" spans="41:41" x14ac:dyDescent="0.3">
      <c r="AO1742" s="62"/>
    </row>
    <row r="1743" spans="41:41" x14ac:dyDescent="0.3">
      <c r="AO1743" s="62"/>
    </row>
    <row r="1744" spans="41:41" x14ac:dyDescent="0.3">
      <c r="AO1744" s="62"/>
    </row>
    <row r="1745" spans="41:41" x14ac:dyDescent="0.3">
      <c r="AO1745" s="62"/>
    </row>
    <row r="1746" spans="41:41" x14ac:dyDescent="0.3">
      <c r="AO1746" s="62"/>
    </row>
    <row r="1747" spans="41:41" x14ac:dyDescent="0.3">
      <c r="AO1747" s="62"/>
    </row>
    <row r="1748" spans="41:41" x14ac:dyDescent="0.3">
      <c r="AO1748" s="62"/>
    </row>
    <row r="1749" spans="41:41" x14ac:dyDescent="0.3">
      <c r="AO1749" s="62"/>
    </row>
    <row r="1750" spans="41:41" x14ac:dyDescent="0.3">
      <c r="AO1750" s="62"/>
    </row>
    <row r="1751" spans="41:41" x14ac:dyDescent="0.3">
      <c r="AO1751" s="62"/>
    </row>
    <row r="1752" spans="41:41" x14ac:dyDescent="0.3">
      <c r="AO1752" s="62"/>
    </row>
    <row r="1753" spans="41:41" x14ac:dyDescent="0.3">
      <c r="AO1753" s="62"/>
    </row>
    <row r="1754" spans="41:41" x14ac:dyDescent="0.3">
      <c r="AO1754" s="62"/>
    </row>
  </sheetData>
  <sheetProtection algorithmName="SHA-512" hashValue="LQPIvRCnxA4iVz51I9AOUtp+DFlTiflP2SDXLEsQCRMCbVeCxoSXq88hBPNXkFvThNF5ikozJ6KgijwwcLxMag==" saltValue="V/Y5Bo6BB8TZfzJX5jnt3A==" spinCount="100000" sheet="1" objects="1" scenarios="1"/>
  <mergeCells count="913">
    <mergeCell ref="M30:M32"/>
    <mergeCell ref="N30:N32"/>
    <mergeCell ref="N26:N28"/>
    <mergeCell ref="B108:C108"/>
    <mergeCell ref="E108:F108"/>
    <mergeCell ref="G108:H108"/>
    <mergeCell ref="G87:H87"/>
    <mergeCell ref="G88:H88"/>
    <mergeCell ref="G89:H89"/>
    <mergeCell ref="G90:H90"/>
    <mergeCell ref="G91:H91"/>
    <mergeCell ref="G92:H92"/>
    <mergeCell ref="G93:H93"/>
    <mergeCell ref="G94:H94"/>
    <mergeCell ref="G95:H95"/>
    <mergeCell ref="E87:F87"/>
    <mergeCell ref="E88:F88"/>
    <mergeCell ref="E89:F89"/>
    <mergeCell ref="E90:F90"/>
    <mergeCell ref="E91:F91"/>
    <mergeCell ref="E92:F92"/>
    <mergeCell ref="E93:F93"/>
    <mergeCell ref="E94:F94"/>
    <mergeCell ref="E95:F95"/>
    <mergeCell ref="E106:F106"/>
    <mergeCell ref="E107:F107"/>
    <mergeCell ref="H110:I110"/>
    <mergeCell ref="H111:I111"/>
    <mergeCell ref="E78:F78"/>
    <mergeCell ref="E79:F79"/>
    <mergeCell ref="E80:F80"/>
    <mergeCell ref="E81:F81"/>
    <mergeCell ref="E82:F82"/>
    <mergeCell ref="E83:F83"/>
    <mergeCell ref="E84:F84"/>
    <mergeCell ref="E85:F85"/>
    <mergeCell ref="E86:F86"/>
    <mergeCell ref="G78:H78"/>
    <mergeCell ref="G79:H79"/>
    <mergeCell ref="G80:H80"/>
    <mergeCell ref="G81:H81"/>
    <mergeCell ref="G82:H82"/>
    <mergeCell ref="G83:H83"/>
    <mergeCell ref="G84:H84"/>
    <mergeCell ref="G85:H85"/>
    <mergeCell ref="G86:H86"/>
    <mergeCell ref="G106:H106"/>
    <mergeCell ref="G107:H107"/>
    <mergeCell ref="E100:F100"/>
    <mergeCell ref="E105:F105"/>
    <mergeCell ref="E96:F96"/>
    <mergeCell ref="E97:F97"/>
    <mergeCell ref="E98:F98"/>
    <mergeCell ref="E99:F99"/>
    <mergeCell ref="G96:H96"/>
    <mergeCell ref="G97:H97"/>
    <mergeCell ref="G98:H98"/>
    <mergeCell ref="G99:H99"/>
    <mergeCell ref="E101:F101"/>
    <mergeCell ref="E102:F102"/>
    <mergeCell ref="E103:F103"/>
    <mergeCell ref="E104:F104"/>
    <mergeCell ref="G100:H100"/>
    <mergeCell ref="G101:H101"/>
    <mergeCell ref="G102:H102"/>
    <mergeCell ref="G103:H103"/>
    <mergeCell ref="G104:H104"/>
    <mergeCell ref="G105:H105"/>
    <mergeCell ref="AC90:AD90"/>
    <mergeCell ref="AG90:AH90"/>
    <mergeCell ref="AI90:AJ90"/>
    <mergeCell ref="AL90:AM90"/>
    <mergeCell ref="AP90:AQ90"/>
    <mergeCell ref="AR90:AS90"/>
    <mergeCell ref="AC89:AD89"/>
    <mergeCell ref="AG89:AH89"/>
    <mergeCell ref="AI89:AJ89"/>
    <mergeCell ref="AL89:AM89"/>
    <mergeCell ref="AP89:AQ89"/>
    <mergeCell ref="AR89:AS89"/>
    <mergeCell ref="AL87:AM87"/>
    <mergeCell ref="AP87:AQ87"/>
    <mergeCell ref="AR87:AS87"/>
    <mergeCell ref="AC88:AD88"/>
    <mergeCell ref="AG88:AH88"/>
    <mergeCell ref="AI88:AJ88"/>
    <mergeCell ref="AL88:AM88"/>
    <mergeCell ref="AC87:AD87"/>
    <mergeCell ref="AG87:AH87"/>
    <mergeCell ref="AI87:AJ87"/>
    <mergeCell ref="AP88:AQ88"/>
    <mergeCell ref="AR88:AS88"/>
    <mergeCell ref="AC86:AD86"/>
    <mergeCell ref="AG86:AH86"/>
    <mergeCell ref="AI86:AJ86"/>
    <mergeCell ref="AL86:AM86"/>
    <mergeCell ref="AP86:AQ86"/>
    <mergeCell ref="AR86:AS86"/>
    <mergeCell ref="AC85:AD85"/>
    <mergeCell ref="AG85:AH85"/>
    <mergeCell ref="AI85:AJ85"/>
    <mergeCell ref="AL85:AM85"/>
    <mergeCell ref="AP85:AQ85"/>
    <mergeCell ref="AR85:AS85"/>
    <mergeCell ref="AC84:AD84"/>
    <mergeCell ref="AG84:AH84"/>
    <mergeCell ref="AI84:AJ84"/>
    <mergeCell ref="AL84:AM84"/>
    <mergeCell ref="AP84:AQ84"/>
    <mergeCell ref="AR84:AS84"/>
    <mergeCell ref="AR82:AS82"/>
    <mergeCell ref="AC83:AD83"/>
    <mergeCell ref="AG83:AH83"/>
    <mergeCell ref="AI83:AJ83"/>
    <mergeCell ref="AL83:AM83"/>
    <mergeCell ref="AP83:AQ83"/>
    <mergeCell ref="AR83:AS83"/>
    <mergeCell ref="AC82:AD82"/>
    <mergeCell ref="AG82:AH82"/>
    <mergeCell ref="AI82:AJ82"/>
    <mergeCell ref="AL82:AM82"/>
    <mergeCell ref="AP82:AQ82"/>
    <mergeCell ref="AC81:AD81"/>
    <mergeCell ref="AG81:AH81"/>
    <mergeCell ref="AI81:AJ81"/>
    <mergeCell ref="AL81:AM81"/>
    <mergeCell ref="AP81:AQ81"/>
    <mergeCell ref="AR81:AS81"/>
    <mergeCell ref="AC80:AD80"/>
    <mergeCell ref="AG80:AH80"/>
    <mergeCell ref="AI80:AJ80"/>
    <mergeCell ref="AL80:AM80"/>
    <mergeCell ref="AP80:AQ80"/>
    <mergeCell ref="AR80:AS80"/>
    <mergeCell ref="AC79:AD79"/>
    <mergeCell ref="AG79:AH79"/>
    <mergeCell ref="AI79:AJ79"/>
    <mergeCell ref="AL79:AM79"/>
    <mergeCell ref="AP79:AQ79"/>
    <mergeCell ref="AR79:AS79"/>
    <mergeCell ref="AC78:AD78"/>
    <mergeCell ref="AG78:AH78"/>
    <mergeCell ref="AI78:AJ78"/>
    <mergeCell ref="AL78:AM78"/>
    <mergeCell ref="AP78:AQ78"/>
    <mergeCell ref="AR78:AS78"/>
    <mergeCell ref="AC74:AD74"/>
    <mergeCell ref="AG74:AH74"/>
    <mergeCell ref="AI74:AJ74"/>
    <mergeCell ref="AC77:AD77"/>
    <mergeCell ref="AG77:AH77"/>
    <mergeCell ref="AI77:AJ77"/>
    <mergeCell ref="AL74:AM74"/>
    <mergeCell ref="AP74:AQ74"/>
    <mergeCell ref="AR74:AS74"/>
    <mergeCell ref="AL77:AM77"/>
    <mergeCell ref="AP77:AQ77"/>
    <mergeCell ref="AR77:AS77"/>
    <mergeCell ref="AL75:AM75"/>
    <mergeCell ref="AP75:AQ75"/>
    <mergeCell ref="AR75:AS75"/>
    <mergeCell ref="AC76:AD76"/>
    <mergeCell ref="AG76:AH76"/>
    <mergeCell ref="AI76:AJ76"/>
    <mergeCell ref="AL76:AM76"/>
    <mergeCell ref="AP76:AQ76"/>
    <mergeCell ref="AR76:AS76"/>
    <mergeCell ref="AC75:AD75"/>
    <mergeCell ref="AG75:AH75"/>
    <mergeCell ref="AI75:AJ75"/>
    <mergeCell ref="AC73:AD73"/>
    <mergeCell ref="AG73:AH73"/>
    <mergeCell ref="AI73:AJ73"/>
    <mergeCell ref="AL73:AM73"/>
    <mergeCell ref="AP73:AQ73"/>
    <mergeCell ref="AR73:AS73"/>
    <mergeCell ref="AR71:AS71"/>
    <mergeCell ref="AC72:AD72"/>
    <mergeCell ref="AG72:AH72"/>
    <mergeCell ref="AI72:AJ72"/>
    <mergeCell ref="AL72:AM72"/>
    <mergeCell ref="AP72:AQ72"/>
    <mergeCell ref="AR72:AS72"/>
    <mergeCell ref="AC71:AD71"/>
    <mergeCell ref="AG71:AH71"/>
    <mergeCell ref="AI71:AJ71"/>
    <mergeCell ref="AL71:AM71"/>
    <mergeCell ref="AP71:AQ71"/>
    <mergeCell ref="AC70:AD70"/>
    <mergeCell ref="AG70:AH70"/>
    <mergeCell ref="AI70:AJ70"/>
    <mergeCell ref="AL70:AM70"/>
    <mergeCell ref="AP70:AQ70"/>
    <mergeCell ref="AR70:AS70"/>
    <mergeCell ref="AR68:AS68"/>
    <mergeCell ref="AC69:AD69"/>
    <mergeCell ref="AG69:AH69"/>
    <mergeCell ref="AI69:AJ69"/>
    <mergeCell ref="AL69:AM69"/>
    <mergeCell ref="AP69:AQ69"/>
    <mergeCell ref="AR69:AS69"/>
    <mergeCell ref="AL67:AM67"/>
    <mergeCell ref="AP67:AQ67"/>
    <mergeCell ref="AR67:AS67"/>
    <mergeCell ref="AC68:AD68"/>
    <mergeCell ref="AG68:AH68"/>
    <mergeCell ref="AI68:AJ68"/>
    <mergeCell ref="AL68:AM68"/>
    <mergeCell ref="AP68:AQ68"/>
    <mergeCell ref="AC67:AD67"/>
    <mergeCell ref="AG67:AH67"/>
    <mergeCell ref="AI67:AJ67"/>
    <mergeCell ref="AP65:AQ65"/>
    <mergeCell ref="AR65:AS65"/>
    <mergeCell ref="AC66:AD66"/>
    <mergeCell ref="AG66:AH66"/>
    <mergeCell ref="AI66:AJ66"/>
    <mergeCell ref="AL66:AM66"/>
    <mergeCell ref="AP66:AQ66"/>
    <mergeCell ref="AR66:AS66"/>
    <mergeCell ref="AC65:AD65"/>
    <mergeCell ref="AG65:AH65"/>
    <mergeCell ref="AI65:AJ65"/>
    <mergeCell ref="AL65:AM65"/>
    <mergeCell ref="AP63:AQ63"/>
    <mergeCell ref="AR63:AS63"/>
    <mergeCell ref="AC64:AD64"/>
    <mergeCell ref="AG64:AH64"/>
    <mergeCell ref="AI64:AJ64"/>
    <mergeCell ref="AL64:AM64"/>
    <mergeCell ref="AP64:AQ64"/>
    <mergeCell ref="AR64:AS64"/>
    <mergeCell ref="AC63:AD63"/>
    <mergeCell ref="AG63:AH63"/>
    <mergeCell ref="AI63:AJ63"/>
    <mergeCell ref="AL63:AM63"/>
    <mergeCell ref="AC62:AD62"/>
    <mergeCell ref="AG62:AH62"/>
    <mergeCell ref="AI62:AJ62"/>
    <mergeCell ref="AL62:AM62"/>
    <mergeCell ref="AP62:AQ62"/>
    <mergeCell ref="AR62:AS62"/>
    <mergeCell ref="AC61:AD61"/>
    <mergeCell ref="AG61:AH61"/>
    <mergeCell ref="AI61:AJ61"/>
    <mergeCell ref="AL61:AM61"/>
    <mergeCell ref="AP61:AQ61"/>
    <mergeCell ref="AR61:AS61"/>
    <mergeCell ref="AC60:AD60"/>
    <mergeCell ref="AG60:AH60"/>
    <mergeCell ref="AI60:AJ60"/>
    <mergeCell ref="AL60:AM60"/>
    <mergeCell ref="AP60:AQ60"/>
    <mergeCell ref="AR60:AS60"/>
    <mergeCell ref="AC59:AD59"/>
    <mergeCell ref="AG59:AH59"/>
    <mergeCell ref="AI59:AJ59"/>
    <mergeCell ref="AL59:AM59"/>
    <mergeCell ref="AP59:AQ59"/>
    <mergeCell ref="AR59:AS59"/>
    <mergeCell ref="AC58:AD58"/>
    <mergeCell ref="AG58:AH58"/>
    <mergeCell ref="AI58:AJ58"/>
    <mergeCell ref="AL58:AM58"/>
    <mergeCell ref="AP58:AQ58"/>
    <mergeCell ref="AR58:AS58"/>
    <mergeCell ref="AC57:AD57"/>
    <mergeCell ref="AG57:AH57"/>
    <mergeCell ref="AI57:AJ57"/>
    <mergeCell ref="AL57:AM57"/>
    <mergeCell ref="AP57:AQ57"/>
    <mergeCell ref="AR57:AS57"/>
    <mergeCell ref="AC56:AD56"/>
    <mergeCell ref="AG56:AH56"/>
    <mergeCell ref="AI56:AJ56"/>
    <mergeCell ref="AL56:AM56"/>
    <mergeCell ref="AP56:AQ56"/>
    <mergeCell ref="AR56:AS56"/>
    <mergeCell ref="AC55:AD55"/>
    <mergeCell ref="AG55:AH55"/>
    <mergeCell ref="AI55:AJ55"/>
    <mergeCell ref="AL55:AM55"/>
    <mergeCell ref="AP55:AQ55"/>
    <mergeCell ref="AR55:AS55"/>
    <mergeCell ref="AC54:AD54"/>
    <mergeCell ref="AG54:AH54"/>
    <mergeCell ref="AI54:AJ54"/>
    <mergeCell ref="AL54:AM54"/>
    <mergeCell ref="AP54:AQ54"/>
    <mergeCell ref="AR54:AS54"/>
    <mergeCell ref="AC53:AD53"/>
    <mergeCell ref="AG53:AH53"/>
    <mergeCell ref="AI53:AJ53"/>
    <mergeCell ref="AL53:AM53"/>
    <mergeCell ref="AP53:AQ53"/>
    <mergeCell ref="AR53:AS53"/>
    <mergeCell ref="AC52:AD52"/>
    <mergeCell ref="AG52:AH52"/>
    <mergeCell ref="AI52:AJ52"/>
    <mergeCell ref="AL52:AM52"/>
    <mergeCell ref="AP52:AQ52"/>
    <mergeCell ref="AR52:AS52"/>
    <mergeCell ref="AC51:AD51"/>
    <mergeCell ref="AG51:AH51"/>
    <mergeCell ref="AI51:AJ51"/>
    <mergeCell ref="AL51:AM51"/>
    <mergeCell ref="AP51:AQ51"/>
    <mergeCell ref="AR51:AS51"/>
    <mergeCell ref="AC50:AD50"/>
    <mergeCell ref="AG50:AH50"/>
    <mergeCell ref="AI50:AJ50"/>
    <mergeCell ref="AL50:AM50"/>
    <mergeCell ref="AP50:AQ50"/>
    <mergeCell ref="AR50:AS50"/>
    <mergeCell ref="AC49:AD49"/>
    <mergeCell ref="AG49:AH49"/>
    <mergeCell ref="AI49:AJ49"/>
    <mergeCell ref="AL49:AM49"/>
    <mergeCell ref="AP49:AQ49"/>
    <mergeCell ref="AR49:AS49"/>
    <mergeCell ref="AC48:AD48"/>
    <mergeCell ref="AG48:AH48"/>
    <mergeCell ref="AI48:AJ48"/>
    <mergeCell ref="AL48:AM48"/>
    <mergeCell ref="AP48:AQ48"/>
    <mergeCell ref="AR48:AS48"/>
    <mergeCell ref="AC47:AD47"/>
    <mergeCell ref="AG47:AH47"/>
    <mergeCell ref="AI47:AJ47"/>
    <mergeCell ref="AL47:AM47"/>
    <mergeCell ref="AP47:AQ47"/>
    <mergeCell ref="AR47:AS47"/>
    <mergeCell ref="AC46:AD46"/>
    <mergeCell ref="AG46:AH46"/>
    <mergeCell ref="AI46:AJ46"/>
    <mergeCell ref="AL46:AM46"/>
    <mergeCell ref="AP46:AQ46"/>
    <mergeCell ref="AR46:AS46"/>
    <mergeCell ref="AC45:AD45"/>
    <mergeCell ref="AG45:AH45"/>
    <mergeCell ref="AI45:AJ45"/>
    <mergeCell ref="AL45:AM45"/>
    <mergeCell ref="AP45:AQ45"/>
    <mergeCell ref="AR45:AS45"/>
    <mergeCell ref="AC44:AD44"/>
    <mergeCell ref="AG44:AH44"/>
    <mergeCell ref="AI44:AJ44"/>
    <mergeCell ref="AL44:AM44"/>
    <mergeCell ref="AP44:AQ44"/>
    <mergeCell ref="AR44:AS44"/>
    <mergeCell ref="AC43:AD43"/>
    <mergeCell ref="AG43:AH43"/>
    <mergeCell ref="AI43:AJ43"/>
    <mergeCell ref="AL43:AM43"/>
    <mergeCell ref="AP43:AQ43"/>
    <mergeCell ref="AR43:AS43"/>
    <mergeCell ref="AC42:AD42"/>
    <mergeCell ref="AG42:AH42"/>
    <mergeCell ref="AI42:AJ42"/>
    <mergeCell ref="AL42:AM42"/>
    <mergeCell ref="AP42:AQ42"/>
    <mergeCell ref="AR42:AS42"/>
    <mergeCell ref="AC41:AD41"/>
    <mergeCell ref="AG41:AH41"/>
    <mergeCell ref="AI41:AJ41"/>
    <mergeCell ref="AL41:AM41"/>
    <mergeCell ref="AP41:AQ41"/>
    <mergeCell ref="AR41:AS41"/>
    <mergeCell ref="AC40:AD40"/>
    <mergeCell ref="AG40:AH40"/>
    <mergeCell ref="AI40:AJ40"/>
    <mergeCell ref="AL40:AM40"/>
    <mergeCell ref="AP40:AQ40"/>
    <mergeCell ref="AR40:AS40"/>
    <mergeCell ref="AC39:AD39"/>
    <mergeCell ref="AG39:AH39"/>
    <mergeCell ref="AI39:AJ39"/>
    <mergeCell ref="AL39:AM39"/>
    <mergeCell ref="AP39:AQ39"/>
    <mergeCell ref="AR39:AS39"/>
    <mergeCell ref="AC38:AD38"/>
    <mergeCell ref="AG38:AH38"/>
    <mergeCell ref="AI38:AJ38"/>
    <mergeCell ref="AL38:AM38"/>
    <mergeCell ref="AP38:AQ38"/>
    <mergeCell ref="AR38:AS38"/>
    <mergeCell ref="AC37:AD37"/>
    <mergeCell ref="AG37:AH37"/>
    <mergeCell ref="AI37:AJ37"/>
    <mergeCell ref="AL37:AM37"/>
    <mergeCell ref="AP37:AQ37"/>
    <mergeCell ref="AR37:AS37"/>
    <mergeCell ref="AR35:AS35"/>
    <mergeCell ref="AC36:AD36"/>
    <mergeCell ref="AG36:AH36"/>
    <mergeCell ref="AI36:AJ36"/>
    <mergeCell ref="AL36:AM36"/>
    <mergeCell ref="AP36:AQ36"/>
    <mergeCell ref="AR36:AS36"/>
    <mergeCell ref="AC35:AD35"/>
    <mergeCell ref="AG35:AH35"/>
    <mergeCell ref="AI35:AJ35"/>
    <mergeCell ref="AL35:AM35"/>
    <mergeCell ref="AP35:AQ35"/>
    <mergeCell ref="AC32:AD32"/>
    <mergeCell ref="AG32:AH32"/>
    <mergeCell ref="AI32:AJ32"/>
    <mergeCell ref="AL32:AM32"/>
    <mergeCell ref="AP32:AQ32"/>
    <mergeCell ref="AR32:AS32"/>
    <mergeCell ref="AC34:AD34"/>
    <mergeCell ref="AG34:AH34"/>
    <mergeCell ref="AI34:AJ34"/>
    <mergeCell ref="AL34:AM34"/>
    <mergeCell ref="AP34:AQ34"/>
    <mergeCell ref="AR34:AS34"/>
    <mergeCell ref="AC33:AD33"/>
    <mergeCell ref="AG33:AH33"/>
    <mergeCell ref="AI33:AJ33"/>
    <mergeCell ref="AL33:AM33"/>
    <mergeCell ref="AP33:AQ33"/>
    <mergeCell ref="AR33:AS33"/>
    <mergeCell ref="AC31:AD31"/>
    <mergeCell ref="AG31:AH31"/>
    <mergeCell ref="AI31:AJ31"/>
    <mergeCell ref="AR29:AS29"/>
    <mergeCell ref="AC30:AD30"/>
    <mergeCell ref="AG30:AH30"/>
    <mergeCell ref="AI30:AJ30"/>
    <mergeCell ref="AL30:AM30"/>
    <mergeCell ref="AP30:AQ30"/>
    <mergeCell ref="AR30:AS30"/>
    <mergeCell ref="AC29:AD29"/>
    <mergeCell ref="AG29:AH29"/>
    <mergeCell ref="AI29:AJ29"/>
    <mergeCell ref="AL29:AM29"/>
    <mergeCell ref="AP29:AQ29"/>
    <mergeCell ref="AL31:AM31"/>
    <mergeCell ref="AP31:AQ31"/>
    <mergeCell ref="AR31:AS31"/>
    <mergeCell ref="AP26:AQ26"/>
    <mergeCell ref="AR26:AS26"/>
    <mergeCell ref="AC25:AD25"/>
    <mergeCell ref="AG25:AH25"/>
    <mergeCell ref="AI25:AJ25"/>
    <mergeCell ref="AL25:AM25"/>
    <mergeCell ref="AP25:AQ25"/>
    <mergeCell ref="AR25:AS25"/>
    <mergeCell ref="AC28:AD28"/>
    <mergeCell ref="AG28:AH28"/>
    <mergeCell ref="AI28:AJ28"/>
    <mergeCell ref="AL28:AM28"/>
    <mergeCell ref="AP28:AQ28"/>
    <mergeCell ref="AR28:AS28"/>
    <mergeCell ref="AC27:AD27"/>
    <mergeCell ref="AG27:AH27"/>
    <mergeCell ref="AI27:AJ27"/>
    <mergeCell ref="AL27:AM27"/>
    <mergeCell ref="AP27:AQ27"/>
    <mergeCell ref="AR27:AS27"/>
    <mergeCell ref="AC26:AD26"/>
    <mergeCell ref="AG26:AH26"/>
    <mergeCell ref="AI26:AJ26"/>
    <mergeCell ref="AL26:AM26"/>
    <mergeCell ref="AC24:AD24"/>
    <mergeCell ref="AG24:AH24"/>
    <mergeCell ref="AI24:AJ24"/>
    <mergeCell ref="AL24:AM24"/>
    <mergeCell ref="AP24:AQ24"/>
    <mergeCell ref="AR24:AS24"/>
    <mergeCell ref="AC23:AD23"/>
    <mergeCell ref="AG23:AH23"/>
    <mergeCell ref="AI23:AJ23"/>
    <mergeCell ref="AL23:AM23"/>
    <mergeCell ref="AP23:AQ23"/>
    <mergeCell ref="AR23:AS23"/>
    <mergeCell ref="AC22:AD22"/>
    <mergeCell ref="AG22:AH22"/>
    <mergeCell ref="AI22:AJ22"/>
    <mergeCell ref="AL22:AM22"/>
    <mergeCell ref="AP22:AQ22"/>
    <mergeCell ref="AR22:AS22"/>
    <mergeCell ref="AC21:AD21"/>
    <mergeCell ref="AG21:AH21"/>
    <mergeCell ref="AI21:AJ21"/>
    <mergeCell ref="AL21:AM21"/>
    <mergeCell ref="AP21:AQ21"/>
    <mergeCell ref="AR21:AS21"/>
    <mergeCell ref="AC20:AD20"/>
    <mergeCell ref="AG20:AH20"/>
    <mergeCell ref="AI20:AJ20"/>
    <mergeCell ref="AL20:AM20"/>
    <mergeCell ref="AP20:AQ20"/>
    <mergeCell ref="AR20:AS20"/>
    <mergeCell ref="AP18:AQ18"/>
    <mergeCell ref="AR18:AS18"/>
    <mergeCell ref="B19:D19"/>
    <mergeCell ref="E19:F19"/>
    <mergeCell ref="AC19:AD19"/>
    <mergeCell ref="AG19:AH19"/>
    <mergeCell ref="AI19:AJ19"/>
    <mergeCell ref="AL19:AM19"/>
    <mergeCell ref="AP19:AQ19"/>
    <mergeCell ref="AR19:AS19"/>
    <mergeCell ref="AC18:AD18"/>
    <mergeCell ref="AG18:AH18"/>
    <mergeCell ref="AI18:AJ18"/>
    <mergeCell ref="AL18:AM18"/>
    <mergeCell ref="N18:N19"/>
    <mergeCell ref="AR16:AS16"/>
    <mergeCell ref="AC17:AD17"/>
    <mergeCell ref="AG17:AH17"/>
    <mergeCell ref="AI17:AJ17"/>
    <mergeCell ref="AL17:AM17"/>
    <mergeCell ref="AP17:AQ17"/>
    <mergeCell ref="AR17:AS17"/>
    <mergeCell ref="AC16:AD16"/>
    <mergeCell ref="AG16:AH16"/>
    <mergeCell ref="AI16:AJ16"/>
    <mergeCell ref="AL16:AM16"/>
    <mergeCell ref="AP16:AQ16"/>
    <mergeCell ref="AP13:AQ13"/>
    <mergeCell ref="AR13:AS13"/>
    <mergeCell ref="AC12:AD12"/>
    <mergeCell ref="AG12:AH12"/>
    <mergeCell ref="AI12:AJ12"/>
    <mergeCell ref="AL12:AM12"/>
    <mergeCell ref="AP12:AQ12"/>
    <mergeCell ref="AC15:AD15"/>
    <mergeCell ref="AG15:AH15"/>
    <mergeCell ref="AI15:AJ15"/>
    <mergeCell ref="AL15:AM15"/>
    <mergeCell ref="AP15:AQ15"/>
    <mergeCell ref="AR15:AS15"/>
    <mergeCell ref="AC14:AD14"/>
    <mergeCell ref="AG14:AH14"/>
    <mergeCell ref="AI14:AJ14"/>
    <mergeCell ref="AL14:AM14"/>
    <mergeCell ref="AP14:AQ14"/>
    <mergeCell ref="AR14:AS14"/>
    <mergeCell ref="N13:N14"/>
    <mergeCell ref="AC11:AD11"/>
    <mergeCell ref="AG11:AH11"/>
    <mergeCell ref="AI11:AJ11"/>
    <mergeCell ref="AL11:AM11"/>
    <mergeCell ref="AP11:AQ11"/>
    <mergeCell ref="AR11:AS11"/>
    <mergeCell ref="AR9:AS9"/>
    <mergeCell ref="AC10:AD10"/>
    <mergeCell ref="AG10:AH10"/>
    <mergeCell ref="AI10:AJ10"/>
    <mergeCell ref="AL10:AM10"/>
    <mergeCell ref="AP10:AQ10"/>
    <mergeCell ref="AR10:AS10"/>
    <mergeCell ref="AC9:AD9"/>
    <mergeCell ref="AG9:AH9"/>
    <mergeCell ref="AI9:AJ9"/>
    <mergeCell ref="AL9:AM9"/>
    <mergeCell ref="AP9:AQ9"/>
    <mergeCell ref="AR12:AS12"/>
    <mergeCell ref="AC13:AD13"/>
    <mergeCell ref="AG13:AH13"/>
    <mergeCell ref="AI13:AJ13"/>
    <mergeCell ref="AL13:AM13"/>
    <mergeCell ref="B2:D2"/>
    <mergeCell ref="E2:F2"/>
    <mergeCell ref="L2:M2"/>
    <mergeCell ref="AC2:AJ2"/>
    <mergeCell ref="AC6:AD6"/>
    <mergeCell ref="AG6:AH6"/>
    <mergeCell ref="AI6:AJ6"/>
    <mergeCell ref="AI4:AJ4"/>
    <mergeCell ref="E4:F4"/>
    <mergeCell ref="AC5:AD5"/>
    <mergeCell ref="AG5:AH5"/>
    <mergeCell ref="AI5:AJ5"/>
    <mergeCell ref="L6:M6"/>
    <mergeCell ref="AC4:AD4"/>
    <mergeCell ref="AG4:AH4"/>
    <mergeCell ref="B6:D6"/>
    <mergeCell ref="E6:F6"/>
    <mergeCell ref="B4:D4"/>
    <mergeCell ref="L4:M4"/>
    <mergeCell ref="L7:M7"/>
    <mergeCell ref="AL2:AT2"/>
    <mergeCell ref="AC3:AD3"/>
    <mergeCell ref="AG3:AH3"/>
    <mergeCell ref="AI3:AJ3"/>
    <mergeCell ref="AL3:AM3"/>
    <mergeCell ref="AP3:AQ3"/>
    <mergeCell ref="AR3:AS3"/>
    <mergeCell ref="AL4:AM4"/>
    <mergeCell ref="AP4:AQ4"/>
    <mergeCell ref="AR4:AS4"/>
    <mergeCell ref="AL5:AM5"/>
    <mergeCell ref="AP5:AQ5"/>
    <mergeCell ref="AR5:AS5"/>
    <mergeCell ref="L3:N3"/>
    <mergeCell ref="AC8:AD8"/>
    <mergeCell ref="AG8:AH8"/>
    <mergeCell ref="AI8:AJ8"/>
    <mergeCell ref="AL8:AM8"/>
    <mergeCell ref="AP8:AQ8"/>
    <mergeCell ref="AR8:AS8"/>
    <mergeCell ref="AL6:AM6"/>
    <mergeCell ref="AP6:AQ6"/>
    <mergeCell ref="AR6:AS6"/>
    <mergeCell ref="AC7:AD7"/>
    <mergeCell ref="AG7:AH7"/>
    <mergeCell ref="AI7:AJ7"/>
    <mergeCell ref="AL7:AM7"/>
    <mergeCell ref="AP7:AQ7"/>
    <mergeCell ref="AR7:AS7"/>
    <mergeCell ref="G58:H58"/>
    <mergeCell ref="G59:H59"/>
    <mergeCell ref="G60:H60"/>
    <mergeCell ref="G61:H61"/>
    <mergeCell ref="G62:H62"/>
    <mergeCell ref="G63:H63"/>
    <mergeCell ref="B73:C73"/>
    <mergeCell ref="B71:C71"/>
    <mergeCell ref="B72:C72"/>
    <mergeCell ref="E72:F72"/>
    <mergeCell ref="E73:F73"/>
    <mergeCell ref="B63:C63"/>
    <mergeCell ref="B61:C61"/>
    <mergeCell ref="B62:C62"/>
    <mergeCell ref="B60:C60"/>
    <mergeCell ref="B67:C67"/>
    <mergeCell ref="B68:C68"/>
    <mergeCell ref="B69:C69"/>
    <mergeCell ref="B70:C70"/>
    <mergeCell ref="E69:F69"/>
    <mergeCell ref="E70:F70"/>
    <mergeCell ref="E71:F71"/>
    <mergeCell ref="B64:C64"/>
    <mergeCell ref="B65:C65"/>
    <mergeCell ref="G52:H52"/>
    <mergeCell ref="G53:H53"/>
    <mergeCell ref="G54:H54"/>
    <mergeCell ref="G55:H55"/>
    <mergeCell ref="G56:H56"/>
    <mergeCell ref="G57:H57"/>
    <mergeCell ref="B51:C51"/>
    <mergeCell ref="B49:C49"/>
    <mergeCell ref="B50:C50"/>
    <mergeCell ref="B57:C57"/>
    <mergeCell ref="B55:C55"/>
    <mergeCell ref="B56:C56"/>
    <mergeCell ref="B54:C54"/>
    <mergeCell ref="B52:C52"/>
    <mergeCell ref="B53:C53"/>
    <mergeCell ref="E52:F52"/>
    <mergeCell ref="E53:F53"/>
    <mergeCell ref="E54:F54"/>
    <mergeCell ref="E55:F55"/>
    <mergeCell ref="E56:F56"/>
    <mergeCell ref="E57:F57"/>
    <mergeCell ref="G46:H46"/>
    <mergeCell ref="G47:H47"/>
    <mergeCell ref="G48:H48"/>
    <mergeCell ref="G49:H49"/>
    <mergeCell ref="G50:H50"/>
    <mergeCell ref="G51:H51"/>
    <mergeCell ref="B45:C45"/>
    <mergeCell ref="B43:C43"/>
    <mergeCell ref="B44:C44"/>
    <mergeCell ref="B48:C48"/>
    <mergeCell ref="B46:C46"/>
    <mergeCell ref="B47:C47"/>
    <mergeCell ref="E46:F46"/>
    <mergeCell ref="E47:F47"/>
    <mergeCell ref="E48:F48"/>
    <mergeCell ref="E49:F49"/>
    <mergeCell ref="E50:F50"/>
    <mergeCell ref="E51:F51"/>
    <mergeCell ref="G43:H43"/>
    <mergeCell ref="G44:H44"/>
    <mergeCell ref="G45:H45"/>
    <mergeCell ref="E43:F43"/>
    <mergeCell ref="E44:F44"/>
    <mergeCell ref="E45:F45"/>
    <mergeCell ref="G38:H38"/>
    <mergeCell ref="G39:H39"/>
    <mergeCell ref="B33:C33"/>
    <mergeCell ref="G33:H33"/>
    <mergeCell ref="G34:H34"/>
    <mergeCell ref="G35:H35"/>
    <mergeCell ref="G40:H40"/>
    <mergeCell ref="G41:H41"/>
    <mergeCell ref="G42:H42"/>
    <mergeCell ref="B37:C37"/>
    <mergeCell ref="B39:C39"/>
    <mergeCell ref="B38:C38"/>
    <mergeCell ref="B36:C36"/>
    <mergeCell ref="B42:C42"/>
    <mergeCell ref="B40:C40"/>
    <mergeCell ref="B41:C41"/>
    <mergeCell ref="E40:F40"/>
    <mergeCell ref="E41:F41"/>
    <mergeCell ref="E42:F42"/>
    <mergeCell ref="B12:D12"/>
    <mergeCell ref="E12:F12"/>
    <mergeCell ref="G24:H24"/>
    <mergeCell ref="G25:H25"/>
    <mergeCell ref="G26:H26"/>
    <mergeCell ref="G27:H27"/>
    <mergeCell ref="G28:H28"/>
    <mergeCell ref="G29:H29"/>
    <mergeCell ref="B34:C34"/>
    <mergeCell ref="E34:F34"/>
    <mergeCell ref="B27:C27"/>
    <mergeCell ref="B30:C30"/>
    <mergeCell ref="B31:C31"/>
    <mergeCell ref="E27:F27"/>
    <mergeCell ref="E31:F31"/>
    <mergeCell ref="E32:F32"/>
    <mergeCell ref="E33:F33"/>
    <mergeCell ref="E29:F29"/>
    <mergeCell ref="E30:F30"/>
    <mergeCell ref="L13:M14"/>
    <mergeCell ref="L18:M19"/>
    <mergeCell ref="L16:M16"/>
    <mergeCell ref="B25:C25"/>
    <mergeCell ref="B26:C26"/>
    <mergeCell ref="L21:M21"/>
    <mergeCell ref="B16:D17"/>
    <mergeCell ref="E16:F17"/>
    <mergeCell ref="B14:D14"/>
    <mergeCell ref="E14:F14"/>
    <mergeCell ref="E24:F24"/>
    <mergeCell ref="B24:C24"/>
    <mergeCell ref="E25:F25"/>
    <mergeCell ref="E26:F26"/>
    <mergeCell ref="B21:D21"/>
    <mergeCell ref="E21:F21"/>
    <mergeCell ref="M26:M28"/>
    <mergeCell ref="E75:F75"/>
    <mergeCell ref="E76:F76"/>
    <mergeCell ref="B66:C66"/>
    <mergeCell ref="B28:C28"/>
    <mergeCell ref="B29:C29"/>
    <mergeCell ref="B32:C32"/>
    <mergeCell ref="B35:C35"/>
    <mergeCell ref="E35:F35"/>
    <mergeCell ref="E38:F38"/>
    <mergeCell ref="E39:F39"/>
    <mergeCell ref="B58:C58"/>
    <mergeCell ref="B59:C59"/>
    <mergeCell ref="E58:F58"/>
    <mergeCell ref="E59:F59"/>
    <mergeCell ref="E60:F60"/>
    <mergeCell ref="E61:F61"/>
    <mergeCell ref="E62:F62"/>
    <mergeCell ref="E63:F63"/>
    <mergeCell ref="E36:F36"/>
    <mergeCell ref="E37:F37"/>
    <mergeCell ref="E64:F64"/>
    <mergeCell ref="E65:F65"/>
    <mergeCell ref="E66:F66"/>
    <mergeCell ref="E28:F28"/>
    <mergeCell ref="E77:F77"/>
    <mergeCell ref="G75:H75"/>
    <mergeCell ref="G76:H76"/>
    <mergeCell ref="G77:H77"/>
    <mergeCell ref="B77:C77"/>
    <mergeCell ref="B99:C99"/>
    <mergeCell ref="B96:C96"/>
    <mergeCell ref="E67:F67"/>
    <mergeCell ref="E68:F68"/>
    <mergeCell ref="B87:C87"/>
    <mergeCell ref="B88:C88"/>
    <mergeCell ref="B78:C78"/>
    <mergeCell ref="B79:C79"/>
    <mergeCell ref="B80:C80"/>
    <mergeCell ref="B81:C81"/>
    <mergeCell ref="B82:C82"/>
    <mergeCell ref="B83:C83"/>
    <mergeCell ref="B84:C84"/>
    <mergeCell ref="B85:C85"/>
    <mergeCell ref="B86:C86"/>
    <mergeCell ref="B74:C74"/>
    <mergeCell ref="B75:C75"/>
    <mergeCell ref="B76:C76"/>
    <mergeCell ref="E74:F74"/>
    <mergeCell ref="B100:C100"/>
    <mergeCell ref="B101:C101"/>
    <mergeCell ref="B102:C102"/>
    <mergeCell ref="B103:C103"/>
    <mergeCell ref="B104:C104"/>
    <mergeCell ref="B105:C105"/>
    <mergeCell ref="B106:C106"/>
    <mergeCell ref="B107:C107"/>
    <mergeCell ref="B89:C89"/>
    <mergeCell ref="B90:C90"/>
    <mergeCell ref="B91:C91"/>
    <mergeCell ref="B92:C92"/>
    <mergeCell ref="B93:C93"/>
    <mergeCell ref="B94:C94"/>
    <mergeCell ref="B95:C95"/>
    <mergeCell ref="B97:C97"/>
    <mergeCell ref="B98:C98"/>
    <mergeCell ref="L9:M9"/>
    <mergeCell ref="E9:F9"/>
    <mergeCell ref="B8:D10"/>
    <mergeCell ref="B23:N23"/>
    <mergeCell ref="L10:M11"/>
    <mergeCell ref="N10:N11"/>
    <mergeCell ref="E109:F109"/>
    <mergeCell ref="G30:H30"/>
    <mergeCell ref="G31:H31"/>
    <mergeCell ref="G32:H32"/>
    <mergeCell ref="G36:H36"/>
    <mergeCell ref="G37:H37"/>
    <mergeCell ref="G64:H64"/>
    <mergeCell ref="G65:H65"/>
    <mergeCell ref="G66:H66"/>
    <mergeCell ref="G67:H67"/>
    <mergeCell ref="G68:H68"/>
    <mergeCell ref="G69:H69"/>
    <mergeCell ref="G70:H70"/>
    <mergeCell ref="G71:H71"/>
    <mergeCell ref="G72:H72"/>
    <mergeCell ref="G73:H73"/>
    <mergeCell ref="G74:H74"/>
    <mergeCell ref="G109:H109"/>
    <mergeCell ref="BH4:BI4"/>
    <mergeCell ref="BL4:BM4"/>
    <mergeCell ref="BH5:BI5"/>
    <mergeCell ref="BL5:BM5"/>
    <mergeCell ref="BH6:BI6"/>
    <mergeCell ref="BH7:BI7"/>
    <mergeCell ref="BH8:BI8"/>
    <mergeCell ref="BH9:BI9"/>
    <mergeCell ref="BH10:BI10"/>
    <mergeCell ref="BH11:BI11"/>
    <mergeCell ref="BH12:BI12"/>
    <mergeCell ref="BH13:BI13"/>
    <mergeCell ref="BH14:BI14"/>
    <mergeCell ref="BH15:BI15"/>
    <mergeCell ref="BH16:BI16"/>
    <mergeCell ref="BH17:BI17"/>
    <mergeCell ref="BH18:BI18"/>
    <mergeCell ref="BH19:BI19"/>
    <mergeCell ref="BH20:BI20"/>
    <mergeCell ref="BH21:BI21"/>
    <mergeCell ref="BH22:BI22"/>
    <mergeCell ref="BH23:BI23"/>
    <mergeCell ref="BH24:BI24"/>
    <mergeCell ref="BH25:BI25"/>
    <mergeCell ref="BH26:BI26"/>
    <mergeCell ref="BH27:BI27"/>
    <mergeCell ref="BH28:BI28"/>
    <mergeCell ref="BH71:BI71"/>
    <mergeCell ref="BH72:BI72"/>
    <mergeCell ref="BH73:BI73"/>
    <mergeCell ref="BH40:BI40"/>
    <mergeCell ref="BH41:BI41"/>
    <mergeCell ref="BH42:BI42"/>
    <mergeCell ref="BH43:BI43"/>
    <mergeCell ref="BH44:BI44"/>
    <mergeCell ref="BH45:BI45"/>
    <mergeCell ref="BH46:BI46"/>
    <mergeCell ref="BH56:BI56"/>
    <mergeCell ref="BH57:BI57"/>
    <mergeCell ref="BH58:BI58"/>
    <mergeCell ref="BH59:BI59"/>
    <mergeCell ref="BH60:BI60"/>
    <mergeCell ref="BH61:BI61"/>
    <mergeCell ref="BH53:BI53"/>
    <mergeCell ref="BH54:BI54"/>
    <mergeCell ref="BH55:BI55"/>
    <mergeCell ref="BH47:BI47"/>
    <mergeCell ref="BH48:BI48"/>
    <mergeCell ref="BH49:BI49"/>
    <mergeCell ref="BH50:BI50"/>
    <mergeCell ref="BH51:BI51"/>
    <mergeCell ref="BH52:BI52"/>
    <mergeCell ref="BH38:BI38"/>
    <mergeCell ref="BH39:BI39"/>
    <mergeCell ref="BH29:BI29"/>
    <mergeCell ref="BH30:BI30"/>
    <mergeCell ref="BH31:BI31"/>
    <mergeCell ref="BH32:BI32"/>
    <mergeCell ref="BH33:BI33"/>
    <mergeCell ref="BH34:BI34"/>
    <mergeCell ref="BH35:BI35"/>
    <mergeCell ref="BH36:BI36"/>
    <mergeCell ref="BH37:BI37"/>
    <mergeCell ref="BH83:BI83"/>
    <mergeCell ref="BH84:BI84"/>
    <mergeCell ref="BH85:BI85"/>
    <mergeCell ref="BH86:BI86"/>
    <mergeCell ref="BH87:BI87"/>
    <mergeCell ref="BH88:BI88"/>
    <mergeCell ref="BH82:BI82"/>
    <mergeCell ref="BH62:BI62"/>
    <mergeCell ref="BH63:BI63"/>
    <mergeCell ref="BH64:BI64"/>
    <mergeCell ref="BH74:BI74"/>
    <mergeCell ref="BH75:BI75"/>
    <mergeCell ref="BH76:BI76"/>
    <mergeCell ref="BH77:BI77"/>
    <mergeCell ref="BH78:BI78"/>
    <mergeCell ref="BH79:BI79"/>
    <mergeCell ref="BH80:BI80"/>
    <mergeCell ref="BH81:BI81"/>
    <mergeCell ref="BH65:BI65"/>
    <mergeCell ref="BH66:BI66"/>
    <mergeCell ref="BH67:BI67"/>
    <mergeCell ref="BH68:BI68"/>
    <mergeCell ref="BH69:BI69"/>
    <mergeCell ref="BH70:BI70"/>
  </mergeCells>
  <conditionalFormatting sqref="B24:H109">
    <cfRule type="expression" dxfId="44" priority="19">
      <formula>$X$2=1</formula>
    </cfRule>
  </conditionalFormatting>
  <conditionalFormatting sqref="B37:H37">
    <cfRule type="expression" dxfId="43" priority="20">
      <formula>$E$12=12</formula>
    </cfRule>
  </conditionalFormatting>
  <conditionalFormatting sqref="B49:H49">
    <cfRule type="expression" dxfId="42" priority="21">
      <formula>$E$12=24</formula>
    </cfRule>
  </conditionalFormatting>
  <conditionalFormatting sqref="B61:H61">
    <cfRule type="expression" dxfId="41" priority="22">
      <formula>$E$12=36</formula>
    </cfRule>
  </conditionalFormatting>
  <conditionalFormatting sqref="B73:H73">
    <cfRule type="expression" dxfId="40" priority="23">
      <formula>$E$12=48</formula>
    </cfRule>
  </conditionalFormatting>
  <conditionalFormatting sqref="B85:H85">
    <cfRule type="expression" dxfId="39" priority="24">
      <formula>$E$12=60</formula>
    </cfRule>
  </conditionalFormatting>
  <conditionalFormatting sqref="B97:H97">
    <cfRule type="expression" dxfId="38" priority="25">
      <formula>$E$12=72</formula>
    </cfRule>
  </conditionalFormatting>
  <conditionalFormatting sqref="B109:H109">
    <cfRule type="expression" dxfId="37" priority="26">
      <formula>$E$12=84</formula>
    </cfRule>
  </conditionalFormatting>
  <conditionalFormatting sqref="B23:N23">
    <cfRule type="expression" dxfId="36" priority="9">
      <formula>$X$2=1</formula>
    </cfRule>
  </conditionalFormatting>
  <conditionalFormatting sqref="E4">
    <cfRule type="expression" dxfId="35" priority="30">
      <formula>$V$3=0</formula>
    </cfRule>
  </conditionalFormatting>
  <conditionalFormatting sqref="E9">
    <cfRule type="cellIs" dxfId="34" priority="29" stopIfTrue="1" operator="equal">
      <formula>0.001</formula>
    </cfRule>
  </conditionalFormatting>
  <conditionalFormatting sqref="E14">
    <cfRule type="cellIs" dxfId="33" priority="65" stopIfTrue="1" operator="equal">
      <formula>0.001</formula>
    </cfRule>
  </conditionalFormatting>
  <conditionalFormatting sqref="E19">
    <cfRule type="cellIs" dxfId="32" priority="61" stopIfTrue="1" operator="equal">
      <formula>0.001</formula>
    </cfRule>
  </conditionalFormatting>
  <conditionalFormatting sqref="E21:E22">
    <cfRule type="expression" dxfId="31" priority="14">
      <formula>$X$2=1</formula>
    </cfRule>
  </conditionalFormatting>
  <conditionalFormatting sqref="E4:F4">
    <cfRule type="cellIs" dxfId="30" priority="28" operator="equal">
      <formula>0</formula>
    </cfRule>
  </conditionalFormatting>
  <conditionalFormatting sqref="E12:F12">
    <cfRule type="cellIs" dxfId="29" priority="27" operator="equal">
      <formula>0</formula>
    </cfRule>
  </conditionalFormatting>
  <conditionalFormatting sqref="E14:F14">
    <cfRule type="expression" dxfId="28" priority="37" stopIfTrue="1">
      <formula>$X$2=1</formula>
    </cfRule>
  </conditionalFormatting>
  <conditionalFormatting sqref="E16:F17">
    <cfRule type="expression" dxfId="27" priority="36">
      <formula>$X$2=1</formula>
    </cfRule>
  </conditionalFormatting>
  <conditionalFormatting sqref="E19:F19">
    <cfRule type="expression" dxfId="26" priority="53">
      <formula>$X$2=1</formula>
    </cfRule>
  </conditionalFormatting>
  <conditionalFormatting sqref="F8">
    <cfRule type="expression" dxfId="25" priority="58">
      <formula>$X$3=0</formula>
    </cfRule>
  </conditionalFormatting>
  <conditionalFormatting sqref="F10">
    <cfRule type="expression" dxfId="24" priority="56">
      <formula>$X$3=0</formula>
    </cfRule>
  </conditionalFormatting>
  <conditionalFormatting sqref="M8">
    <cfRule type="colorScale" priority="2">
      <colorScale>
        <cfvo type="num" val="0"/>
        <cfvo type="num" val="&quot;&gt;0&quot;"/>
        <color theme="0"/>
        <color rgb="FFFFFF99"/>
      </colorScale>
    </cfRule>
    <cfRule type="cellIs" dxfId="23" priority="1" operator="equal">
      <formula>0</formula>
    </cfRule>
  </conditionalFormatting>
  <conditionalFormatting sqref="N2">
    <cfRule type="expression" dxfId="22" priority="5">
      <formula>$U$4=1</formula>
    </cfRule>
  </conditionalFormatting>
  <conditionalFormatting sqref="N4">
    <cfRule type="expression" dxfId="21" priority="11">
      <formula>$X$4=1</formula>
    </cfRule>
    <cfRule type="expression" dxfId="20" priority="10" stopIfTrue="1">
      <formula>$U$4=1</formula>
    </cfRule>
  </conditionalFormatting>
  <conditionalFormatting sqref="N6">
    <cfRule type="expression" dxfId="19" priority="4">
      <formula>$U$4=1</formula>
    </cfRule>
    <cfRule type="expression" dxfId="18" priority="3">
      <formula>$X$2=1</formula>
    </cfRule>
  </conditionalFormatting>
  <conditionalFormatting sqref="N8">
    <cfRule type="expression" dxfId="17" priority="51">
      <formula>$X$2=1</formula>
    </cfRule>
  </conditionalFormatting>
  <conditionalFormatting sqref="N10">
    <cfRule type="expression" dxfId="16" priority="31">
      <formula>$X$2=1</formula>
    </cfRule>
  </conditionalFormatting>
  <conditionalFormatting sqref="N13:N14">
    <cfRule type="expression" dxfId="15" priority="35">
      <formula>$X$2=1</formula>
    </cfRule>
  </conditionalFormatting>
  <conditionalFormatting sqref="N16">
    <cfRule type="expression" dxfId="14" priority="39">
      <formula>$X$2=1</formula>
    </cfRule>
  </conditionalFormatting>
  <conditionalFormatting sqref="N18:N19">
    <cfRule type="expression" dxfId="13" priority="34">
      <formula>$X$2=1</formula>
    </cfRule>
  </conditionalFormatting>
  <conditionalFormatting sqref="N21:N22">
    <cfRule type="expression" dxfId="12" priority="42">
      <formula>$X$2=1</formula>
    </cfRule>
  </conditionalFormatting>
  <conditionalFormatting sqref="U2">
    <cfRule type="cellIs" dxfId="11" priority="64" stopIfTrue="1" operator="equal">
      <formula>"Авансовий платіж достатній"</formula>
    </cfRule>
  </conditionalFormatting>
  <conditionalFormatting sqref="X18">
    <cfRule type="cellIs" dxfId="10" priority="88" stopIfTrue="1" operator="equal">
      <formula>#REF!=$S$28</formula>
    </cfRule>
  </conditionalFormatting>
  <conditionalFormatting sqref="BR2:BS87">
    <cfRule type="cellIs" dxfId="9" priority="7" stopIfTrue="1" operator="equal">
      <formula>0</formula>
    </cfRule>
  </conditionalFormatting>
  <dataValidations count="5">
    <dataValidation type="decimal" operator="greaterThan" allowBlank="1" showInputMessage="1" showErrorMessage="1" sqref="F8 F10" xr:uid="{47F66D45-05AC-46E1-95BB-D0EDDF2CDA85}">
      <formula1>0</formula1>
    </dataValidation>
    <dataValidation type="list" allowBlank="1" showInputMessage="1" showErrorMessage="1" sqref="E12:F12" xr:uid="{B3F6EED4-230E-4171-99D6-182E46ECDE8C}">
      <formula1>$S$6:$S$7</formula1>
    </dataValidation>
    <dataValidation type="list" allowBlank="1" showInputMessage="1" showErrorMessage="1" sqref="E6:F6" xr:uid="{C1DB39A5-225A-4E9A-AE54-CA7C74E11595}">
      <formula1>$X$14:$X$15</formula1>
    </dataValidation>
    <dataValidation type="decimal" operator="greaterThanOrEqual" allowBlank="1" showInputMessage="1" showErrorMessage="1" sqref="E4:F4" xr:uid="{BCF261AF-BD78-418C-8354-5C2FBFACC111}">
      <formula1>100000</formula1>
    </dataValidation>
    <dataValidation type="list" allowBlank="1" showInputMessage="1" showErrorMessage="1" sqref="N9 N7" xr:uid="{C26CCA69-9EC8-4929-BAA3-A53413BB5601}">
      <formula1>"так,ні"</formula1>
    </dataValidation>
  </dataValidations>
  <pageMargins left="0.7" right="0.7" top="0.75" bottom="0.75" header="0.3" footer="0.3"/>
  <pageSetup paperSize="9" scale="4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A86D-6DEB-4CFC-8485-5AF0E6C67E4E}">
  <sheetPr codeName="Аркуш2"/>
  <dimension ref="A1:CR90"/>
  <sheetViews>
    <sheetView topLeftCell="A25" zoomScale="80" zoomScaleNormal="80" zoomScaleSheetLayoutView="80" workbookViewId="0">
      <selection activeCell="T55" sqref="T55"/>
    </sheetView>
  </sheetViews>
  <sheetFormatPr defaultColWidth="8.6640625" defaultRowHeight="14.4" x14ac:dyDescent="0.3"/>
  <cols>
    <col min="1" max="2" width="8.6640625" style="160" customWidth="1"/>
    <col min="3" max="3" width="13.33203125" style="160" customWidth="1"/>
    <col min="4" max="4" width="12.33203125" style="160" customWidth="1"/>
    <col min="5" max="96" width="8.6640625" style="160" customWidth="1"/>
    <col min="97" max="126" width="8.6640625" style="186" customWidth="1"/>
    <col min="127" max="16384" width="8.6640625" style="186"/>
  </cols>
  <sheetData>
    <row r="1" spans="1:94" x14ac:dyDescent="0.3">
      <c r="A1" s="273"/>
      <c r="B1" s="274"/>
      <c r="C1" s="275"/>
      <c r="D1" s="275"/>
      <c r="E1" s="273"/>
      <c r="F1" s="273"/>
      <c r="G1" s="273"/>
      <c r="H1" s="273"/>
      <c r="I1" s="273"/>
      <c r="J1" s="273"/>
      <c r="K1" s="273"/>
      <c r="L1" s="273"/>
      <c r="M1" s="273"/>
      <c r="N1" s="273"/>
      <c r="O1" s="273"/>
      <c r="P1" s="273"/>
      <c r="Q1" s="273" t="s">
        <v>412</v>
      </c>
      <c r="R1" s="273"/>
      <c r="S1" s="273"/>
      <c r="T1" s="273"/>
      <c r="U1" s="273"/>
      <c r="V1" s="273"/>
      <c r="W1" s="273"/>
      <c r="X1" s="273"/>
      <c r="Y1" s="273"/>
      <c r="Z1" s="273"/>
      <c r="AA1" s="273"/>
      <c r="AB1" s="273" t="s">
        <v>345</v>
      </c>
      <c r="AC1" s="273"/>
      <c r="AD1" s="273"/>
      <c r="AE1" s="273"/>
      <c r="AF1" s="273"/>
      <c r="AG1" s="273"/>
      <c r="AH1" s="273"/>
      <c r="AI1" s="273"/>
      <c r="AJ1" s="273"/>
      <c r="AK1" s="273" t="s">
        <v>351</v>
      </c>
      <c r="AL1" s="273"/>
      <c r="AM1" s="273"/>
      <c r="AN1" s="273"/>
      <c r="AO1" s="273"/>
      <c r="AP1" s="273"/>
      <c r="AQ1" s="273"/>
      <c r="AR1" s="273"/>
      <c r="AS1" s="273"/>
      <c r="AT1" s="273"/>
      <c r="AU1" s="273"/>
      <c r="AV1" s="273"/>
      <c r="AW1" s="273"/>
      <c r="AX1" s="273"/>
      <c r="AY1" s="273"/>
      <c r="AZ1" s="273"/>
      <c r="BA1" s="273"/>
      <c r="BB1" s="273"/>
      <c r="BC1" s="273"/>
      <c r="BD1" s="273"/>
      <c r="BE1" s="273"/>
    </row>
    <row r="2" spans="1:94" x14ac:dyDescent="0.3">
      <c r="A2" s="273"/>
      <c r="B2" s="276" t="s">
        <v>413</v>
      </c>
      <c r="C2" s="277"/>
      <c r="D2" s="277"/>
      <c r="E2" s="273"/>
      <c r="F2" s="273"/>
      <c r="G2" s="273" t="s">
        <v>509</v>
      </c>
      <c r="H2" s="273"/>
      <c r="I2" s="273" t="s">
        <v>7</v>
      </c>
      <c r="J2" s="273"/>
      <c r="K2" s="273"/>
      <c r="L2" s="273"/>
      <c r="M2" s="273"/>
      <c r="N2" s="273" t="s">
        <v>414</v>
      </c>
      <c r="O2" s="273"/>
      <c r="P2" s="273"/>
      <c r="Q2" s="273">
        <v>12</v>
      </c>
      <c r="R2" s="273"/>
      <c r="S2" s="273"/>
      <c r="T2" s="273"/>
      <c r="U2" s="273"/>
      <c r="V2" s="273"/>
      <c r="W2" s="273"/>
      <c r="X2" s="273"/>
      <c r="Y2" s="273"/>
      <c r="Z2" s="273"/>
      <c r="AA2" s="273"/>
      <c r="AB2" s="273" t="s">
        <v>415</v>
      </c>
      <c r="AC2" s="273"/>
      <c r="AD2" s="273"/>
      <c r="AE2" s="273"/>
      <c r="AF2" s="273"/>
      <c r="AG2" s="273"/>
      <c r="AH2" s="273"/>
      <c r="AI2" s="273"/>
      <c r="AJ2" s="273"/>
      <c r="AK2" s="273" t="s">
        <v>415</v>
      </c>
      <c r="AL2" s="273"/>
      <c r="AM2" s="273"/>
      <c r="AN2" s="273"/>
      <c r="AO2" s="273"/>
      <c r="AP2" s="273"/>
      <c r="AQ2" s="273"/>
      <c r="AR2" s="273"/>
      <c r="AS2" s="273"/>
      <c r="AT2" s="273"/>
      <c r="AU2" s="273"/>
      <c r="AV2" s="273"/>
      <c r="AW2" s="273"/>
      <c r="AX2" s="273"/>
      <c r="AY2" s="273"/>
      <c r="AZ2" s="273"/>
      <c r="BA2" s="273"/>
      <c r="BB2" s="273"/>
      <c r="BC2" s="273"/>
      <c r="BD2" s="273"/>
      <c r="BE2" s="273"/>
    </row>
    <row r="3" spans="1:94" x14ac:dyDescent="0.3">
      <c r="A3" s="273"/>
      <c r="B3" s="273"/>
      <c r="C3" s="278"/>
      <c r="D3" s="278"/>
      <c r="E3" s="273"/>
      <c r="F3" s="273"/>
      <c r="G3" s="273"/>
      <c r="H3" s="273"/>
      <c r="I3" s="273"/>
      <c r="J3" s="273"/>
      <c r="K3" s="273"/>
      <c r="L3" s="273"/>
      <c r="M3" s="273"/>
      <c r="N3" s="273"/>
      <c r="O3" s="273"/>
      <c r="P3" s="273"/>
      <c r="Q3" s="273">
        <v>24</v>
      </c>
      <c r="R3" s="273"/>
      <c r="S3" s="273"/>
      <c r="T3" s="273"/>
      <c r="U3" s="273"/>
      <c r="V3" s="273"/>
      <c r="W3" s="273"/>
      <c r="X3" s="273"/>
      <c r="Y3" s="273"/>
      <c r="Z3" s="273"/>
      <c r="AA3" s="273" t="s">
        <v>416</v>
      </c>
      <c r="AB3" s="273" t="s">
        <v>321</v>
      </c>
      <c r="AC3" s="273"/>
      <c r="AD3" s="273" t="s">
        <v>417</v>
      </c>
      <c r="AE3" s="273" t="s">
        <v>418</v>
      </c>
      <c r="AF3" s="273" t="s">
        <v>419</v>
      </c>
      <c r="AG3" s="273"/>
      <c r="AH3" s="273" t="s">
        <v>420</v>
      </c>
      <c r="AI3" s="273"/>
      <c r="AJ3" s="273" t="s">
        <v>416</v>
      </c>
      <c r="AK3" s="273" t="s">
        <v>321</v>
      </c>
      <c r="AL3" s="273"/>
      <c r="AM3" s="273" t="s">
        <v>417</v>
      </c>
      <c r="AN3" s="273" t="s">
        <v>418</v>
      </c>
      <c r="AO3" s="273" t="s">
        <v>419</v>
      </c>
      <c r="AP3" s="273"/>
      <c r="AQ3" s="273" t="s">
        <v>420</v>
      </c>
      <c r="AR3" s="273"/>
      <c r="AS3" s="273" t="s">
        <v>327</v>
      </c>
      <c r="AT3" s="273"/>
      <c r="AU3" s="273"/>
      <c r="AV3" s="273"/>
      <c r="AW3" s="273"/>
      <c r="AX3" s="273"/>
      <c r="AY3" s="273"/>
      <c r="AZ3" s="273"/>
      <c r="BA3" s="273"/>
      <c r="BB3" s="273"/>
      <c r="BC3" s="273"/>
      <c r="BD3" s="273"/>
      <c r="BE3" s="273"/>
    </row>
    <row r="4" spans="1:94" x14ac:dyDescent="0.3">
      <c r="A4" s="273"/>
      <c r="B4" s="273" t="s">
        <v>421</v>
      </c>
      <c r="C4" s="278"/>
      <c r="D4" s="278"/>
      <c r="E4" s="273"/>
      <c r="F4" s="273"/>
      <c r="G4" s="273">
        <f>'Калькулятор '!E4</f>
        <v>0</v>
      </c>
      <c r="H4" s="273"/>
      <c r="I4" s="273" t="s">
        <v>422</v>
      </c>
      <c r="J4" s="273"/>
      <c r="K4" s="273"/>
      <c r="L4" s="273"/>
      <c r="M4" s="273"/>
      <c r="N4" s="273" t="str">
        <f>IF($G$4&gt;0,$P$40,"Ні")</f>
        <v>Ні</v>
      </c>
      <c r="O4" s="273"/>
      <c r="P4" s="273"/>
      <c r="Q4" s="273">
        <v>36</v>
      </c>
      <c r="R4" s="273"/>
      <c r="S4" s="273" t="e">
        <f>IF($G$6=0,1,IF($G$4*$G$6=$G$7,2,3))</f>
        <v>#DIV/0!</v>
      </c>
      <c r="T4" s="273">
        <f>IF(G2="Сума авансового платежу перевищує вартість авто",1,IF(G2="Сума авансового платежу дорівнює вартості авто",1,IF(G2="Сума авансового платежу недостатня",1,0)))</f>
        <v>0</v>
      </c>
      <c r="U4" s="273"/>
      <c r="V4" s="273"/>
      <c r="W4" s="273"/>
      <c r="X4" s="273"/>
      <c r="Y4" s="273"/>
      <c r="Z4" s="273"/>
      <c r="AA4" s="273">
        <f ca="1">Ануїтетна_графік_Авто!G5</f>
        <v>46211</v>
      </c>
      <c r="AB4" s="273">
        <v>1</v>
      </c>
      <c r="AC4" s="273"/>
      <c r="AD4" s="273" t="e">
        <f ca="1">Ануїтетна_графік_Авто!J5</f>
        <v>#DIV/0!</v>
      </c>
      <c r="AE4" s="273"/>
      <c r="AF4" s="273" t="e">
        <f ca="1">Ануїтетна_графік_Авто!K5</f>
        <v>#DIV/0!</v>
      </c>
      <c r="AG4" s="273"/>
      <c r="AH4" s="273" t="e">
        <f ca="1">Ануїтетна_графік_Авто!M5</f>
        <v>#DIV/0!</v>
      </c>
      <c r="AI4" s="273"/>
      <c r="AJ4" s="273">
        <f ca="1">Ануїтетна_графік_Авто!G5</f>
        <v>46211</v>
      </c>
      <c r="AK4" s="273">
        <v>1</v>
      </c>
      <c r="AL4" s="273"/>
      <c r="AM4" s="273" t="e">
        <f ca="1">Ануїтетна_графік_Авто!J5</f>
        <v>#DIV/0!</v>
      </c>
      <c r="AN4" s="273"/>
      <c r="AO4" s="273" t="e">
        <f ca="1">Ануїтетна_графік_Авто!K5</f>
        <v>#DIV/0!</v>
      </c>
      <c r="AP4" s="273"/>
      <c r="AQ4" s="273" t="e">
        <f ca="1">Ануїтетна_графік_Авто!M5</f>
        <v>#DIV/0!</v>
      </c>
      <c r="AR4" s="273"/>
      <c r="AS4" s="273"/>
      <c r="AT4" s="273"/>
      <c r="AU4" s="273"/>
      <c r="AV4" s="273"/>
      <c r="AW4" s="273"/>
      <c r="AX4" s="273"/>
      <c r="AY4" s="273"/>
      <c r="AZ4" s="273"/>
      <c r="BA4" s="273"/>
      <c r="BB4" s="273"/>
      <c r="BC4" s="273"/>
      <c r="BD4" s="273"/>
      <c r="BE4" s="273"/>
    </row>
    <row r="5" spans="1:94" x14ac:dyDescent="0.3">
      <c r="A5" s="273"/>
      <c r="B5" s="273"/>
      <c r="C5" s="278"/>
      <c r="D5" s="278"/>
      <c r="E5" s="273"/>
      <c r="F5" s="273"/>
      <c r="G5" s="273"/>
      <c r="H5" s="273"/>
      <c r="I5" s="273"/>
      <c r="J5" s="273"/>
      <c r="K5" s="273"/>
      <c r="L5" s="273"/>
      <c r="M5" s="273"/>
      <c r="N5" s="273"/>
      <c r="O5" s="273"/>
      <c r="P5" s="273"/>
      <c r="Q5" s="273">
        <v>48</v>
      </c>
      <c r="R5" s="273"/>
      <c r="S5" s="273"/>
      <c r="T5" s="273"/>
      <c r="U5" s="273"/>
      <c r="V5" s="273"/>
      <c r="W5" s="273"/>
      <c r="X5" s="273"/>
      <c r="Y5" s="273"/>
      <c r="Z5" s="273"/>
      <c r="AA5" s="273">
        <f ca="1">Ануїтетна_графік_Авто!G6</f>
        <v>46242</v>
      </c>
      <c r="AB5" s="273">
        <v>2</v>
      </c>
      <c r="AC5" s="273"/>
      <c r="AD5" s="273" t="e">
        <f ca="1">Ануїтетна_графік_Авто!J6</f>
        <v>#VALUE!</v>
      </c>
      <c r="AE5" s="273"/>
      <c r="AF5" s="273" t="e">
        <f ca="1">Ануїтетна_графік_Авто!K6</f>
        <v>#VALUE!</v>
      </c>
      <c r="AG5" s="273"/>
      <c r="AH5" s="273" t="e">
        <f ca="1">Ануїтетна_графік_Авто!M6</f>
        <v>#VALUE!</v>
      </c>
      <c r="AI5" s="273"/>
      <c r="AJ5" s="273">
        <f t="shared" ref="AJ5:AJ68" ca="1" si="0">IF(AK5="","",DATE(YEAR(AJ4),MONTH(AJ4)+2,DAY(1)-1))</f>
        <v>46265</v>
      </c>
      <c r="AK5" s="273">
        <v>2</v>
      </c>
      <c r="AL5" s="273"/>
      <c r="AM5" s="273" t="e">
        <f ca="1">Ануїтетна_графік_Авто!J6</f>
        <v>#VALUE!</v>
      </c>
      <c r="AN5" s="273"/>
      <c r="AO5" s="273" t="e">
        <f ca="1">Ануїтетна_графік_Авто!K6</f>
        <v>#VALUE!</v>
      </c>
      <c r="AP5" s="273"/>
      <c r="AQ5" s="273" t="e">
        <f ca="1">Ануїтетна_графік_Авто!M6</f>
        <v>#VALUE!</v>
      </c>
      <c r="AR5" s="273"/>
      <c r="AS5" s="273" t="e">
        <f ca="1">$G$19-AM4</f>
        <v>#DIV/0!</v>
      </c>
      <c r="AT5" s="273"/>
      <c r="AU5" s="273"/>
      <c r="AV5" s="273"/>
      <c r="AW5" s="273"/>
      <c r="AX5" s="273"/>
      <c r="AY5" s="273"/>
      <c r="AZ5" s="273"/>
      <c r="BA5" s="273"/>
      <c r="BB5" s="273"/>
      <c r="BC5" s="273"/>
      <c r="BD5" s="273"/>
      <c r="BE5" s="273"/>
    </row>
    <row r="6" spans="1:94" x14ac:dyDescent="0.3">
      <c r="A6" s="273"/>
      <c r="B6" s="273" t="s">
        <v>534</v>
      </c>
      <c r="C6" s="278"/>
      <c r="D6" s="278"/>
      <c r="E6" s="273"/>
      <c r="F6" s="273"/>
      <c r="G6" s="273">
        <v>300000</v>
      </c>
      <c r="H6" s="273"/>
      <c r="I6" s="273" t="s">
        <v>423</v>
      </c>
      <c r="J6" s="273"/>
      <c r="K6" s="273"/>
      <c r="L6" s="273"/>
      <c r="M6" s="273"/>
      <c r="N6" s="273">
        <f>Q40</f>
        <v>0</v>
      </c>
      <c r="O6" s="273"/>
      <c r="P6" s="273"/>
      <c r="Q6" s="273">
        <v>60</v>
      </c>
      <c r="R6" s="273"/>
      <c r="S6" s="273"/>
      <c r="T6" s="273"/>
      <c r="U6" s="273"/>
      <c r="V6" s="273"/>
      <c r="W6" s="273"/>
      <c r="X6" s="273"/>
      <c r="Y6" s="273"/>
      <c r="Z6" s="273"/>
      <c r="AA6" s="273">
        <f ca="1">Ануїтетна_графік_Авто!G7</f>
        <v>46273</v>
      </c>
      <c r="AB6" s="273">
        <v>3</v>
      </c>
      <c r="AC6" s="273"/>
      <c r="AD6" s="273" t="e">
        <f ca="1">Ануїтетна_графік_Авто!J7</f>
        <v>#VALUE!</v>
      </c>
      <c r="AE6" s="273"/>
      <c r="AF6" s="273" t="e">
        <f ca="1">Ануїтетна_графік_Авто!K7</f>
        <v>#VALUE!</v>
      </c>
      <c r="AG6" s="273"/>
      <c r="AH6" s="273" t="e">
        <f ca="1">Ануїтетна_графік_Авто!M7</f>
        <v>#VALUE!</v>
      </c>
      <c r="AI6" s="273"/>
      <c r="AJ6" s="273">
        <f t="shared" ca="1" si="0"/>
        <v>46295</v>
      </c>
      <c r="AK6" s="273">
        <v>3</v>
      </c>
      <c r="AL6" s="273"/>
      <c r="AM6" s="273" t="e">
        <f ca="1">Ануїтетна_графік_Авто!J7</f>
        <v>#VALUE!</v>
      </c>
      <c r="AN6" s="273"/>
      <c r="AO6" s="273" t="e">
        <f ca="1">Ануїтетна_графік_Авто!K7</f>
        <v>#VALUE!</v>
      </c>
      <c r="AP6" s="273"/>
      <c r="AQ6" s="273" t="e">
        <f ca="1">Ануїтетна_графік_Авто!M7</f>
        <v>#VALUE!</v>
      </c>
      <c r="AR6" s="273"/>
      <c r="AS6" s="273" t="e">
        <f t="shared" ref="AS6:AS69" ca="1" si="1">AS5-AM5</f>
        <v>#DIV/0!</v>
      </c>
      <c r="AT6" s="273"/>
      <c r="AU6" s="273"/>
      <c r="AV6" s="273"/>
      <c r="AW6" s="273"/>
      <c r="AX6" s="273"/>
      <c r="AY6" s="273"/>
      <c r="AZ6" s="273"/>
      <c r="BA6" s="273"/>
      <c r="BB6" s="273"/>
      <c r="BC6" s="273"/>
      <c r="BD6" s="273"/>
      <c r="BE6" s="273"/>
    </row>
    <row r="7" spans="1:94" x14ac:dyDescent="0.3">
      <c r="A7" s="273"/>
      <c r="B7" s="273" t="s">
        <v>424</v>
      </c>
      <c r="C7" s="278"/>
      <c r="D7" s="278"/>
      <c r="E7" s="273"/>
      <c r="F7" s="273"/>
      <c r="G7" s="273" t="e">
        <f>IF(G6="","",IF(G6&lt;100,G4*G6,G6/G4))</f>
        <v>#DIV/0!</v>
      </c>
      <c r="H7" s="273"/>
      <c r="I7" s="273"/>
      <c r="J7" s="273"/>
      <c r="K7" s="273"/>
      <c r="L7" s="273"/>
      <c r="M7" s="273"/>
      <c r="N7" s="273"/>
      <c r="O7" s="273"/>
      <c r="P7" s="273"/>
      <c r="Q7" s="273"/>
      <c r="R7" s="273"/>
      <c r="S7" s="273"/>
      <c r="T7" s="273"/>
      <c r="U7" s="273"/>
      <c r="V7" s="273"/>
      <c r="W7" s="273"/>
      <c r="X7" s="273"/>
      <c r="Y7" s="273"/>
      <c r="Z7" s="273"/>
      <c r="AA7" s="273">
        <f ca="1">Ануїтетна_графік_Авто!G8</f>
        <v>46303</v>
      </c>
      <c r="AB7" s="273">
        <v>4</v>
      </c>
      <c r="AC7" s="273"/>
      <c r="AD7" s="273" t="e">
        <f ca="1">Ануїтетна_графік_Авто!J8</f>
        <v>#VALUE!</v>
      </c>
      <c r="AE7" s="273"/>
      <c r="AF7" s="273" t="e">
        <f ca="1">Ануїтетна_графік_Авто!K8</f>
        <v>#VALUE!</v>
      </c>
      <c r="AG7" s="273"/>
      <c r="AH7" s="273" t="e">
        <f ca="1">Ануїтетна_графік_Авто!M8</f>
        <v>#VALUE!</v>
      </c>
      <c r="AI7" s="273"/>
      <c r="AJ7" s="273">
        <f t="shared" ca="1" si="0"/>
        <v>46326</v>
      </c>
      <c r="AK7" s="273">
        <v>4</v>
      </c>
      <c r="AL7" s="273"/>
      <c r="AM7" s="273" t="e">
        <f ca="1">Ануїтетна_графік_Авто!J8</f>
        <v>#VALUE!</v>
      </c>
      <c r="AN7" s="273"/>
      <c r="AO7" s="273" t="e">
        <f ca="1">Ануїтетна_графік_Авто!K8</f>
        <v>#VALUE!</v>
      </c>
      <c r="AP7" s="273"/>
      <c r="AQ7" s="273" t="e">
        <f ca="1">Ануїтетна_графік_Авто!M8</f>
        <v>#VALUE!</v>
      </c>
      <c r="AR7" s="273"/>
      <c r="AS7" s="273" t="e">
        <f t="shared" ca="1" si="1"/>
        <v>#DIV/0!</v>
      </c>
      <c r="AT7" s="273"/>
      <c r="AU7" s="273"/>
      <c r="AV7" s="273"/>
      <c r="AW7" s="273"/>
      <c r="AX7" s="273"/>
      <c r="AY7" s="273"/>
      <c r="AZ7" s="273"/>
      <c r="BA7" s="273"/>
      <c r="BB7" s="273"/>
      <c r="BC7" s="273"/>
      <c r="BD7" s="273"/>
      <c r="BE7" s="273"/>
      <c r="CP7" s="160" t="s">
        <v>498</v>
      </c>
    </row>
    <row r="8" spans="1:94" x14ac:dyDescent="0.3">
      <c r="A8" s="273"/>
      <c r="B8" s="273"/>
      <c r="C8" s="278"/>
      <c r="D8" s="278"/>
      <c r="E8" s="273"/>
      <c r="F8" s="273"/>
      <c r="G8" s="273"/>
      <c r="H8" s="273"/>
      <c r="I8" s="273" t="s">
        <v>425</v>
      </c>
      <c r="J8" s="273"/>
      <c r="K8" s="273"/>
      <c r="L8" s="273"/>
      <c r="M8" s="273"/>
      <c r="N8" s="273">
        <f>'Калькулятор '!E12</f>
        <v>0</v>
      </c>
      <c r="O8" s="273"/>
      <c r="P8" s="273"/>
      <c r="Q8" s="273"/>
      <c r="R8" s="273"/>
      <c r="S8" s="273"/>
      <c r="T8" s="273"/>
      <c r="U8" s="273"/>
      <c r="V8" s="273"/>
      <c r="W8" s="273"/>
      <c r="X8" s="273"/>
      <c r="Y8" s="273"/>
      <c r="Z8" s="273"/>
      <c r="AA8" s="273">
        <f ca="1">Ануїтетна_графік_Авто!G9</f>
        <v>46334</v>
      </c>
      <c r="AB8" s="273">
        <v>5</v>
      </c>
      <c r="AC8" s="273"/>
      <c r="AD8" s="273" t="e">
        <f ca="1">Ануїтетна_графік_Авто!J9</f>
        <v>#VALUE!</v>
      </c>
      <c r="AE8" s="273"/>
      <c r="AF8" s="273" t="e">
        <f ca="1">Ануїтетна_графік_Авто!K9</f>
        <v>#VALUE!</v>
      </c>
      <c r="AG8" s="273"/>
      <c r="AH8" s="273" t="e">
        <f ca="1">Ануїтетна_графік_Авто!M9</f>
        <v>#VALUE!</v>
      </c>
      <c r="AI8" s="273"/>
      <c r="AJ8" s="273">
        <f t="shared" ca="1" si="0"/>
        <v>46356</v>
      </c>
      <c r="AK8" s="273">
        <v>5</v>
      </c>
      <c r="AL8" s="273"/>
      <c r="AM8" s="273" t="e">
        <f ca="1">Ануїтетна_графік_Авто!J9</f>
        <v>#VALUE!</v>
      </c>
      <c r="AN8" s="273"/>
      <c r="AO8" s="273" t="e">
        <f ca="1">Ануїтетна_графік_Авто!K9</f>
        <v>#VALUE!</v>
      </c>
      <c r="AP8" s="273"/>
      <c r="AQ8" s="273" t="e">
        <f ca="1">Ануїтетна_графік_Авто!M9</f>
        <v>#VALUE!</v>
      </c>
      <c r="AR8" s="273"/>
      <c r="AS8" s="273" t="e">
        <f t="shared" ca="1" si="1"/>
        <v>#DIV/0!</v>
      </c>
      <c r="AT8" s="273"/>
      <c r="AU8" s="273"/>
      <c r="AV8" s="273"/>
      <c r="AW8" s="273"/>
      <c r="AX8" s="273"/>
      <c r="AY8" s="273"/>
      <c r="AZ8" s="273"/>
      <c r="BA8" s="273"/>
      <c r="BB8" s="273"/>
      <c r="BC8" s="273"/>
      <c r="BD8" s="273"/>
      <c r="BE8" s="273"/>
    </row>
    <row r="9" spans="1:94" x14ac:dyDescent="0.3">
      <c r="A9" s="273"/>
      <c r="B9" s="273" t="s">
        <v>426</v>
      </c>
      <c r="C9" s="278"/>
      <c r="D9" s="278"/>
      <c r="E9" s="273"/>
      <c r="F9" s="273"/>
      <c r="G9" s="273">
        <v>9.9000000000000008E-3</v>
      </c>
      <c r="H9" s="273"/>
      <c r="I9" s="273"/>
      <c r="J9" s="273"/>
      <c r="K9" s="273"/>
      <c r="L9" s="273"/>
      <c r="M9" s="273"/>
      <c r="N9" s="273"/>
      <c r="O9" s="273"/>
      <c r="P9" s="273"/>
      <c r="Q9" s="273"/>
      <c r="R9" s="273"/>
      <c r="S9" s="273"/>
      <c r="T9" s="273"/>
      <c r="U9" s="273"/>
      <c r="V9" s="273"/>
      <c r="W9" s="273"/>
      <c r="X9" s="273"/>
      <c r="Y9" s="273"/>
      <c r="Z9" s="273"/>
      <c r="AA9" s="273">
        <f ca="1">Ануїтетна_графік_Авто!G10</f>
        <v>46364</v>
      </c>
      <c r="AB9" s="273">
        <v>6</v>
      </c>
      <c r="AC9" s="273"/>
      <c r="AD9" s="273" t="e">
        <f ca="1">Ануїтетна_графік_Авто!J10</f>
        <v>#VALUE!</v>
      </c>
      <c r="AE9" s="273"/>
      <c r="AF9" s="273" t="e">
        <f ca="1">Ануїтетна_графік_Авто!K10</f>
        <v>#VALUE!</v>
      </c>
      <c r="AG9" s="273"/>
      <c r="AH9" s="273" t="e">
        <f ca="1">Ануїтетна_графік_Авто!M10</f>
        <v>#VALUE!</v>
      </c>
      <c r="AI9" s="273"/>
      <c r="AJ9" s="273">
        <f t="shared" ca="1" si="0"/>
        <v>46387</v>
      </c>
      <c r="AK9" s="273">
        <v>6</v>
      </c>
      <c r="AL9" s="273"/>
      <c r="AM9" s="273" t="e">
        <f ca="1">Ануїтетна_графік_Авто!J10</f>
        <v>#VALUE!</v>
      </c>
      <c r="AN9" s="273"/>
      <c r="AO9" s="273" t="e">
        <f ca="1">Ануїтетна_графік_Авто!K10</f>
        <v>#VALUE!</v>
      </c>
      <c r="AP9" s="273"/>
      <c r="AQ9" s="273" t="e">
        <f ca="1">Ануїтетна_графік_Авто!M10</f>
        <v>#VALUE!</v>
      </c>
      <c r="AR9" s="273"/>
      <c r="AS9" s="273" t="e">
        <f t="shared" ca="1" si="1"/>
        <v>#DIV/0!</v>
      </c>
      <c r="AT9" s="273"/>
      <c r="AU9" s="273"/>
      <c r="AV9" s="273"/>
      <c r="AW9" s="273"/>
      <c r="AX9" s="273"/>
      <c r="AY9" s="273"/>
      <c r="AZ9" s="273"/>
      <c r="BA9" s="273"/>
      <c r="BB9" s="273"/>
      <c r="BC9" s="273"/>
      <c r="BD9" s="273"/>
      <c r="BE9" s="273"/>
    </row>
    <row r="10" spans="1:94" x14ac:dyDescent="0.3">
      <c r="A10" s="273"/>
      <c r="B10" s="273"/>
      <c r="C10" s="278"/>
      <c r="D10" s="278"/>
      <c r="E10" s="273"/>
      <c r="F10" s="273"/>
      <c r="G10" s="273" t="e">
        <f>IF(Q15="",0,ROUND(Q15*G9,2))</f>
        <v>#DIV/0!</v>
      </c>
      <c r="H10" s="273"/>
      <c r="I10" s="273"/>
      <c r="J10" s="273"/>
      <c r="K10" s="273"/>
      <c r="L10" s="273"/>
      <c r="M10" s="273"/>
      <c r="N10" s="273"/>
      <c r="O10" s="273"/>
      <c r="P10" s="273"/>
      <c r="Q10" s="273"/>
      <c r="R10" s="273"/>
      <c r="S10" s="273"/>
      <c r="T10" s="273"/>
      <c r="U10" s="273"/>
      <c r="V10" s="273"/>
      <c r="W10" s="273"/>
      <c r="X10" s="273"/>
      <c r="Y10" s="273"/>
      <c r="Z10" s="273"/>
      <c r="AA10" s="273">
        <f ca="1">Ануїтетна_графік_Авто!G11</f>
        <v>46395</v>
      </c>
      <c r="AB10" s="273">
        <v>7</v>
      </c>
      <c r="AC10" s="273"/>
      <c r="AD10" s="273" t="e">
        <f ca="1">Ануїтетна_графік_Авто!J11</f>
        <v>#VALUE!</v>
      </c>
      <c r="AE10" s="273"/>
      <c r="AF10" s="273" t="e">
        <f ca="1">Ануїтетна_графік_Авто!K11</f>
        <v>#VALUE!</v>
      </c>
      <c r="AG10" s="273"/>
      <c r="AH10" s="273" t="e">
        <f ca="1">Ануїтетна_графік_Авто!M11</f>
        <v>#VALUE!</v>
      </c>
      <c r="AI10" s="273"/>
      <c r="AJ10" s="273">
        <f t="shared" ca="1" si="0"/>
        <v>46418</v>
      </c>
      <c r="AK10" s="273">
        <v>7</v>
      </c>
      <c r="AL10" s="273"/>
      <c r="AM10" s="273" t="e">
        <f ca="1">Ануїтетна_графік_Авто!J11</f>
        <v>#VALUE!</v>
      </c>
      <c r="AN10" s="273"/>
      <c r="AO10" s="273" t="e">
        <f ca="1">Ануїтетна_графік_Авто!K11</f>
        <v>#VALUE!</v>
      </c>
      <c r="AP10" s="273"/>
      <c r="AQ10" s="273" t="e">
        <f ca="1">Ануїтетна_графік_Авто!M11</f>
        <v>#VALUE!</v>
      </c>
      <c r="AR10" s="273"/>
      <c r="AS10" s="273" t="e">
        <f t="shared" ca="1" si="1"/>
        <v>#DIV/0!</v>
      </c>
      <c r="AT10" s="273"/>
      <c r="AU10" s="273"/>
      <c r="AV10" s="273"/>
      <c r="AW10" s="273"/>
      <c r="AX10" s="273"/>
      <c r="AY10" s="273"/>
      <c r="AZ10" s="273"/>
      <c r="BA10" s="273"/>
      <c r="BB10" s="273"/>
      <c r="BC10" s="273"/>
      <c r="BD10" s="273"/>
      <c r="BE10" s="273"/>
    </row>
    <row r="11" spans="1:94" x14ac:dyDescent="0.3">
      <c r="A11" s="273"/>
      <c r="B11" s="273"/>
      <c r="C11" s="273"/>
      <c r="D11" s="273"/>
      <c r="E11" s="273"/>
      <c r="F11" s="273"/>
      <c r="G11" s="273"/>
      <c r="H11" s="273" t="s">
        <v>427</v>
      </c>
      <c r="I11" s="273"/>
      <c r="J11" s="273"/>
      <c r="K11" s="273"/>
      <c r="L11" s="273"/>
      <c r="M11" s="273"/>
      <c r="N11" s="273"/>
      <c r="O11" s="273"/>
      <c r="P11" s="273"/>
      <c r="Q11" s="273" t="s">
        <v>428</v>
      </c>
      <c r="R11" s="273"/>
      <c r="S11" s="273"/>
      <c r="T11" s="273"/>
      <c r="U11" s="273"/>
      <c r="V11" s="273"/>
      <c r="W11" s="273"/>
      <c r="X11" s="273"/>
      <c r="Y11" s="273"/>
      <c r="Z11" s="273"/>
      <c r="AA11" s="273">
        <f ca="1">Ануїтетна_графік_Авто!G12</f>
        <v>46426</v>
      </c>
      <c r="AB11" s="273">
        <v>8</v>
      </c>
      <c r="AC11" s="273"/>
      <c r="AD11" s="273" t="e">
        <f ca="1">Ануїтетна_графік_Авто!J12</f>
        <v>#VALUE!</v>
      </c>
      <c r="AE11" s="273"/>
      <c r="AF11" s="273" t="e">
        <f ca="1">Ануїтетна_графік_Авто!K12</f>
        <v>#VALUE!</v>
      </c>
      <c r="AG11" s="273"/>
      <c r="AH11" s="273" t="e">
        <f ca="1">Ануїтетна_графік_Авто!M12</f>
        <v>#VALUE!</v>
      </c>
      <c r="AI11" s="273"/>
      <c r="AJ11" s="273">
        <f t="shared" ca="1" si="0"/>
        <v>46446</v>
      </c>
      <c r="AK11" s="273">
        <v>8</v>
      </c>
      <c r="AL11" s="273"/>
      <c r="AM11" s="273" t="e">
        <f ca="1">Ануїтетна_графік_Авто!J12</f>
        <v>#VALUE!</v>
      </c>
      <c r="AN11" s="273"/>
      <c r="AO11" s="273" t="e">
        <f ca="1">Ануїтетна_графік_Авто!K12</f>
        <v>#VALUE!</v>
      </c>
      <c r="AP11" s="273"/>
      <c r="AQ11" s="273" t="e">
        <f ca="1">Ануїтетна_графік_Авто!M12</f>
        <v>#VALUE!</v>
      </c>
      <c r="AR11" s="273"/>
      <c r="AS11" s="273" t="e">
        <f t="shared" ca="1" si="1"/>
        <v>#DIV/0!</v>
      </c>
      <c r="AT11" s="273"/>
      <c r="AU11" s="273"/>
      <c r="AV11" s="273"/>
      <c r="AW11" s="273"/>
      <c r="AX11" s="273"/>
      <c r="AY11" s="273"/>
      <c r="AZ11" s="273"/>
      <c r="BA11" s="273"/>
      <c r="BB11" s="273"/>
      <c r="BC11" s="273"/>
      <c r="BD11" s="273"/>
      <c r="BE11" s="273"/>
    </row>
    <row r="12" spans="1:94" x14ac:dyDescent="0.3">
      <c r="A12" s="273"/>
      <c r="B12" s="276" t="s">
        <v>429</v>
      </c>
      <c r="C12" s="276"/>
      <c r="D12" s="273"/>
      <c r="E12" s="273"/>
      <c r="F12" s="273"/>
      <c r="G12" s="273"/>
      <c r="H12" s="273">
        <v>0</v>
      </c>
      <c r="I12" s="273" t="s">
        <v>430</v>
      </c>
      <c r="J12" s="273"/>
      <c r="K12" s="273"/>
      <c r="L12" s="273"/>
      <c r="M12" s="273"/>
      <c r="N12" s="273" t="e">
        <f>ROUND(Q16*G12,2)+(G12*IF(G16="Так",N15,0))</f>
        <v>#DIV/0!</v>
      </c>
      <c r="O12" s="273"/>
      <c r="P12" s="273"/>
      <c r="Q12" s="273">
        <f>IF(OR(Q2=N8,Q3=N8),2.99%,0%)</f>
        <v>0</v>
      </c>
      <c r="R12" s="273"/>
      <c r="S12" s="273"/>
      <c r="T12" s="273"/>
      <c r="U12" s="273"/>
      <c r="V12" s="273"/>
      <c r="W12" s="273"/>
      <c r="X12" s="273"/>
      <c r="Y12" s="273"/>
      <c r="Z12" s="273"/>
      <c r="AA12" s="273">
        <f ca="1">Ануїтетна_графік_Авто!G13</f>
        <v>46454</v>
      </c>
      <c r="AB12" s="273">
        <v>9</v>
      </c>
      <c r="AC12" s="273"/>
      <c r="AD12" s="273" t="e">
        <f ca="1">Ануїтетна_графік_Авто!J13</f>
        <v>#VALUE!</v>
      </c>
      <c r="AE12" s="273"/>
      <c r="AF12" s="273" t="e">
        <f ca="1">Ануїтетна_графік_Авто!K13</f>
        <v>#VALUE!</v>
      </c>
      <c r="AG12" s="273"/>
      <c r="AH12" s="273" t="e">
        <f ca="1">Ануїтетна_графік_Авто!M13</f>
        <v>#VALUE!</v>
      </c>
      <c r="AI12" s="273"/>
      <c r="AJ12" s="273">
        <f t="shared" ca="1" si="0"/>
        <v>46477</v>
      </c>
      <c r="AK12" s="273">
        <v>9</v>
      </c>
      <c r="AL12" s="273"/>
      <c r="AM12" s="273" t="e">
        <f ca="1">Ануїтетна_графік_Авто!J13</f>
        <v>#VALUE!</v>
      </c>
      <c r="AN12" s="273"/>
      <c r="AO12" s="273" t="e">
        <f ca="1">Ануїтетна_графік_Авто!K13</f>
        <v>#VALUE!</v>
      </c>
      <c r="AP12" s="273"/>
      <c r="AQ12" s="273" t="e">
        <f ca="1">Ануїтетна_графік_Авто!M13</f>
        <v>#VALUE!</v>
      </c>
      <c r="AR12" s="273"/>
      <c r="AS12" s="273" t="e">
        <f t="shared" ca="1" si="1"/>
        <v>#DIV/0!</v>
      </c>
      <c r="AT12" s="273"/>
      <c r="AU12" s="273"/>
      <c r="AV12" s="273"/>
      <c r="AW12" s="273"/>
      <c r="AX12" s="273"/>
      <c r="AY12" s="273"/>
      <c r="AZ12" s="273"/>
      <c r="BA12" s="273"/>
      <c r="BB12" s="273"/>
      <c r="BC12" s="273"/>
      <c r="BD12" s="273"/>
      <c r="BE12" s="273"/>
    </row>
    <row r="13" spans="1:94" x14ac:dyDescent="0.3">
      <c r="A13" s="273"/>
      <c r="B13" s="273" t="s">
        <v>431</v>
      </c>
      <c r="C13" s="278"/>
      <c r="D13" s="273"/>
      <c r="E13" s="273"/>
      <c r="F13" s="273"/>
      <c r="G13" s="273"/>
      <c r="H13" s="273"/>
      <c r="I13" s="273"/>
      <c r="J13" s="273"/>
      <c r="K13" s="273"/>
      <c r="L13" s="273"/>
      <c r="M13" s="273"/>
      <c r="N13" s="273"/>
      <c r="O13" s="273"/>
      <c r="P13" s="273"/>
      <c r="Q13" s="273">
        <f>IF(Q12=0,0%,5.99%)</f>
        <v>0</v>
      </c>
      <c r="R13" s="273"/>
      <c r="S13" s="273"/>
      <c r="T13" s="273"/>
      <c r="U13" s="273"/>
      <c r="V13" s="273"/>
      <c r="W13" s="273"/>
      <c r="X13" s="273"/>
      <c r="Y13" s="273"/>
      <c r="Z13" s="273"/>
      <c r="AA13" s="273">
        <f ca="1">Ануїтетна_графік_Авто!G14</f>
        <v>46485</v>
      </c>
      <c r="AB13" s="273">
        <v>10</v>
      </c>
      <c r="AC13" s="273"/>
      <c r="AD13" s="273" t="e">
        <f ca="1">Ануїтетна_графік_Авто!J14</f>
        <v>#VALUE!</v>
      </c>
      <c r="AE13" s="273"/>
      <c r="AF13" s="273" t="e">
        <f ca="1">Ануїтетна_графік_Авто!K14</f>
        <v>#VALUE!</v>
      </c>
      <c r="AG13" s="273"/>
      <c r="AH13" s="273" t="e">
        <f ca="1">Ануїтетна_графік_Авто!M14</f>
        <v>#VALUE!</v>
      </c>
      <c r="AI13" s="273"/>
      <c r="AJ13" s="273">
        <f t="shared" ca="1" si="0"/>
        <v>46507</v>
      </c>
      <c r="AK13" s="273">
        <v>10</v>
      </c>
      <c r="AL13" s="273"/>
      <c r="AM13" s="273" t="e">
        <f ca="1">Ануїтетна_графік_Авто!J14</f>
        <v>#VALUE!</v>
      </c>
      <c r="AN13" s="273"/>
      <c r="AO13" s="273" t="e">
        <f ca="1">Ануїтетна_графік_Авто!K14</f>
        <v>#VALUE!</v>
      </c>
      <c r="AP13" s="273"/>
      <c r="AQ13" s="273" t="e">
        <f ca="1">Ануїтетна_графік_Авто!M14</f>
        <v>#VALUE!</v>
      </c>
      <c r="AR13" s="273"/>
      <c r="AS13" s="273" t="e">
        <f t="shared" ca="1" si="1"/>
        <v>#DIV/0!</v>
      </c>
      <c r="AT13" s="273"/>
      <c r="AU13" s="273"/>
      <c r="AV13" s="273"/>
      <c r="AW13" s="273"/>
      <c r="AX13" s="273"/>
      <c r="AY13" s="273"/>
      <c r="AZ13" s="273"/>
      <c r="BA13" s="273"/>
      <c r="BB13" s="273"/>
      <c r="BC13" s="273"/>
      <c r="BD13" s="273"/>
      <c r="BE13" s="273"/>
    </row>
    <row r="14" spans="1:94" x14ac:dyDescent="0.3">
      <c r="A14" s="273"/>
      <c r="B14" s="273"/>
      <c r="C14" s="278"/>
      <c r="D14" s="273"/>
      <c r="E14" s="273"/>
      <c r="F14" s="273"/>
      <c r="G14" s="273"/>
      <c r="H14" s="273"/>
      <c r="I14" s="273"/>
      <c r="J14" s="273"/>
      <c r="K14" s="273"/>
      <c r="L14" s="273"/>
      <c r="M14" s="273"/>
      <c r="N14" s="273"/>
      <c r="O14" s="273"/>
      <c r="P14" s="273"/>
      <c r="Q14" s="273" t="s">
        <v>313</v>
      </c>
      <c r="R14" s="273"/>
      <c r="S14" s="273"/>
      <c r="T14" s="273"/>
      <c r="U14" s="273"/>
      <c r="V14" s="273"/>
      <c r="W14" s="273" t="s">
        <v>432</v>
      </c>
      <c r="X14" s="273"/>
      <c r="Y14" s="273"/>
      <c r="Z14" s="273"/>
      <c r="AA14" s="273">
        <f ca="1">Ануїтетна_графік_Авто!G15</f>
        <v>46515</v>
      </c>
      <c r="AB14" s="273">
        <v>11</v>
      </c>
      <c r="AC14" s="273"/>
      <c r="AD14" s="273" t="e">
        <f ca="1">Ануїтетна_графік_Авто!J15</f>
        <v>#VALUE!</v>
      </c>
      <c r="AE14" s="273"/>
      <c r="AF14" s="273" t="e">
        <f ca="1">Ануїтетна_графік_Авто!K15</f>
        <v>#VALUE!</v>
      </c>
      <c r="AG14" s="273"/>
      <c r="AH14" s="273" t="e">
        <f ca="1">Ануїтетна_графік_Авто!M15</f>
        <v>#VALUE!</v>
      </c>
      <c r="AI14" s="273"/>
      <c r="AJ14" s="273">
        <f t="shared" ca="1" si="0"/>
        <v>46538</v>
      </c>
      <c r="AK14" s="273">
        <v>11</v>
      </c>
      <c r="AL14" s="273"/>
      <c r="AM14" s="273" t="e">
        <f ca="1">Ануїтетна_графік_Авто!J15</f>
        <v>#VALUE!</v>
      </c>
      <c r="AN14" s="273"/>
      <c r="AO14" s="273" t="e">
        <f ca="1">Ануїтетна_графік_Авто!K15</f>
        <v>#VALUE!</v>
      </c>
      <c r="AP14" s="273"/>
      <c r="AQ14" s="273" t="e">
        <f ca="1">Ануїтетна_графік_Авто!M15</f>
        <v>#VALUE!</v>
      </c>
      <c r="AR14" s="273"/>
      <c r="AS14" s="273" t="e">
        <f t="shared" ca="1" si="1"/>
        <v>#DIV/0!</v>
      </c>
      <c r="AT14" s="273"/>
      <c r="AU14" s="273"/>
      <c r="AV14" s="273"/>
      <c r="AW14" s="273"/>
      <c r="AX14" s="273"/>
      <c r="AY14" s="273"/>
      <c r="AZ14" s="273"/>
      <c r="BA14" s="273"/>
      <c r="BB14" s="273"/>
      <c r="BC14" s="273"/>
      <c r="BD14" s="273"/>
      <c r="BE14" s="273"/>
    </row>
    <row r="15" spans="1:94" x14ac:dyDescent="0.3">
      <c r="A15" s="273"/>
      <c r="B15" s="273" t="s">
        <v>433</v>
      </c>
      <c r="C15" s="278"/>
      <c r="D15" s="273"/>
      <c r="E15" s="273"/>
      <c r="F15" s="273"/>
      <c r="G15" s="273">
        <v>5.16E-2</v>
      </c>
      <c r="H15" s="273"/>
      <c r="I15" s="273" t="s">
        <v>434</v>
      </c>
      <c r="J15" s="273"/>
      <c r="K15" s="273"/>
      <c r="L15" s="273"/>
      <c r="M15" s="273"/>
      <c r="N15" s="273">
        <f>ROUND(G4*G15,2)</f>
        <v>0</v>
      </c>
      <c r="O15" s="273"/>
      <c r="P15" s="273" t="s">
        <v>435</v>
      </c>
      <c r="Q15" s="273" t="e">
        <f>$G$4-IF($S$4=1,0,IF($S$4=3,$G$6,IF($S$4=2,$G$4*$G$6)))+IF($G$13="Так",$N$12,0)+IF($G$16="Так",$N$15,0)</f>
        <v>#DIV/0!</v>
      </c>
      <c r="R15" s="273"/>
      <c r="S15" s="273"/>
      <c r="T15" s="273"/>
      <c r="U15" s="273"/>
      <c r="V15" s="273"/>
      <c r="W15" s="273" t="s">
        <v>398</v>
      </c>
      <c r="X15" s="273"/>
      <c r="Y15" s="273"/>
      <c r="Z15" s="273"/>
      <c r="AA15" s="273">
        <f ca="1">Ануїтетна_графік_Авто!G16</f>
        <v>46546</v>
      </c>
      <c r="AB15" s="273">
        <v>12</v>
      </c>
      <c r="AC15" s="273"/>
      <c r="AD15" s="273" t="e">
        <f ca="1">Ануїтетна_графік_Авто!J16</f>
        <v>#VALUE!</v>
      </c>
      <c r="AE15" s="273"/>
      <c r="AF15" s="273" t="e">
        <f ca="1">Ануїтетна_графік_Авто!K16</f>
        <v>#VALUE!</v>
      </c>
      <c r="AG15" s="273"/>
      <c r="AH15" s="273" t="e">
        <f ca="1">Ануїтетна_графік_Авто!M16</f>
        <v>#VALUE!</v>
      </c>
      <c r="AI15" s="273"/>
      <c r="AJ15" s="273">
        <f t="shared" ca="1" si="0"/>
        <v>46568</v>
      </c>
      <c r="AK15" s="273">
        <v>12</v>
      </c>
      <c r="AL15" s="273"/>
      <c r="AM15" s="273" t="e">
        <f ca="1">Ануїтетна_графік_Авто!J16</f>
        <v>#VALUE!</v>
      </c>
      <c r="AN15" s="273"/>
      <c r="AO15" s="273" t="e">
        <f ca="1">Ануїтетна_графік_Авто!K16</f>
        <v>#VALUE!</v>
      </c>
      <c r="AP15" s="273"/>
      <c r="AQ15" s="273" t="e">
        <f ca="1">Ануїтетна_графік_Авто!M16</f>
        <v>#VALUE!</v>
      </c>
      <c r="AR15" s="273"/>
      <c r="AS15" s="273" t="e">
        <f t="shared" ca="1" si="1"/>
        <v>#DIV/0!</v>
      </c>
      <c r="AT15" s="273"/>
      <c r="AU15" s="273"/>
      <c r="AV15" s="273"/>
      <c r="AW15" s="273"/>
      <c r="AX15" s="273"/>
      <c r="AY15" s="273"/>
      <c r="AZ15" s="273"/>
      <c r="BA15" s="273"/>
      <c r="BB15" s="273"/>
      <c r="BC15" s="273"/>
      <c r="BD15" s="273"/>
      <c r="BE15" s="273"/>
    </row>
    <row r="16" spans="1:94" x14ac:dyDescent="0.3">
      <c r="A16" s="273"/>
      <c r="B16" s="273"/>
      <c r="C16" s="278"/>
      <c r="D16" s="273"/>
      <c r="E16" s="273"/>
      <c r="F16" s="273"/>
      <c r="G16" s="273"/>
      <c r="H16" s="273"/>
      <c r="I16" s="273"/>
      <c r="J16" s="273"/>
      <c r="K16" s="273"/>
      <c r="L16" s="273"/>
      <c r="M16" s="273"/>
      <c r="N16" s="273"/>
      <c r="O16" s="273"/>
      <c r="P16" s="273" t="s">
        <v>436</v>
      </c>
      <c r="Q16" s="273" t="e">
        <f>$G$4-IF($S$4=3,$G$6,IF($S$4=2,$G$4*$G$6))</f>
        <v>#DIV/0!</v>
      </c>
      <c r="R16" s="273"/>
      <c r="S16" s="273"/>
      <c r="T16" s="273"/>
      <c r="U16" s="273"/>
      <c r="V16" s="273"/>
      <c r="W16" s="273"/>
      <c r="X16" s="273"/>
      <c r="Y16" s="273"/>
      <c r="Z16" s="273"/>
      <c r="AA16" s="273">
        <f ca="1">Ануїтетна_графік_Авто!G17</f>
        <v>46576</v>
      </c>
      <c r="AB16" s="273">
        <v>13</v>
      </c>
      <c r="AC16" s="273"/>
      <c r="AD16" s="273" t="e">
        <f ca="1">Ануїтетна_графік_Авто!J17</f>
        <v>#VALUE!</v>
      </c>
      <c r="AE16" s="273"/>
      <c r="AF16" s="273" t="e">
        <f ca="1">Ануїтетна_графік_Авто!K17</f>
        <v>#VALUE!</v>
      </c>
      <c r="AG16" s="273"/>
      <c r="AH16" s="273" t="e">
        <f ca="1">Ануїтетна_графік_Авто!M17</f>
        <v>#VALUE!</v>
      </c>
      <c r="AI16" s="273"/>
      <c r="AJ16" s="273">
        <f t="shared" ca="1" si="0"/>
        <v>46599</v>
      </c>
      <c r="AK16" s="273">
        <v>13</v>
      </c>
      <c r="AL16" s="273"/>
      <c r="AM16" s="273" t="e">
        <f ca="1">Ануїтетна_графік_Авто!J17</f>
        <v>#VALUE!</v>
      </c>
      <c r="AN16" s="273"/>
      <c r="AO16" s="273" t="e">
        <f ca="1">Ануїтетна_графік_Авто!K17</f>
        <v>#VALUE!</v>
      </c>
      <c r="AP16" s="273"/>
      <c r="AQ16" s="273" t="e">
        <f ca="1">Ануїтетна_графік_Авто!M17</f>
        <v>#VALUE!</v>
      </c>
      <c r="AR16" s="273"/>
      <c r="AS16" s="273" t="e">
        <f t="shared" ca="1" si="1"/>
        <v>#DIV/0!</v>
      </c>
      <c r="AT16" s="273"/>
      <c r="AU16" s="273"/>
      <c r="AV16" s="273"/>
      <c r="AW16" s="273"/>
      <c r="AX16" s="273"/>
      <c r="AY16" s="273"/>
      <c r="AZ16" s="273"/>
      <c r="BA16" s="273"/>
      <c r="BB16" s="273"/>
      <c r="BC16" s="273"/>
      <c r="BD16" s="273"/>
      <c r="BE16" s="273"/>
    </row>
    <row r="17" spans="1:57" x14ac:dyDescent="0.3">
      <c r="A17" s="273"/>
      <c r="B17" s="273"/>
      <c r="C17" s="278"/>
      <c r="D17" s="273"/>
      <c r="E17" s="273"/>
      <c r="F17" s="273"/>
      <c r="G17" s="273"/>
      <c r="H17" s="273"/>
      <c r="I17" s="273"/>
      <c r="J17" s="273"/>
      <c r="K17" s="273"/>
      <c r="L17" s="273"/>
      <c r="M17" s="273"/>
      <c r="N17" s="273"/>
      <c r="O17" s="273"/>
      <c r="P17" s="273"/>
      <c r="Q17" s="273"/>
      <c r="R17" s="273"/>
      <c r="S17" s="273"/>
      <c r="T17" s="273"/>
      <c r="U17" s="273"/>
      <c r="V17" s="273"/>
      <c r="W17" s="273" t="s">
        <v>414</v>
      </c>
      <c r="X17" s="273"/>
      <c r="Y17" s="273"/>
      <c r="Z17" s="273"/>
      <c r="AA17" s="273">
        <f ca="1">Ануїтетна_графік_Авто!G18</f>
        <v>46607</v>
      </c>
      <c r="AB17" s="273">
        <v>14</v>
      </c>
      <c r="AC17" s="273"/>
      <c r="AD17" s="273" t="e">
        <f ca="1">Ануїтетна_графік_Авто!J18</f>
        <v>#VALUE!</v>
      </c>
      <c r="AE17" s="273"/>
      <c r="AF17" s="273" t="e">
        <f ca="1">Ануїтетна_графік_Авто!K18</f>
        <v>#VALUE!</v>
      </c>
      <c r="AG17" s="273"/>
      <c r="AH17" s="273" t="e">
        <f ca="1">Ануїтетна_графік_Авто!M18</f>
        <v>#VALUE!</v>
      </c>
      <c r="AI17" s="273"/>
      <c r="AJ17" s="273">
        <f t="shared" ca="1" si="0"/>
        <v>46630</v>
      </c>
      <c r="AK17" s="273">
        <v>14</v>
      </c>
      <c r="AL17" s="273"/>
      <c r="AM17" s="273" t="e">
        <f ca="1">Ануїтетна_графік_Авто!J18</f>
        <v>#VALUE!</v>
      </c>
      <c r="AN17" s="273"/>
      <c r="AO17" s="273" t="e">
        <f ca="1">Ануїтетна_графік_Авто!K18</f>
        <v>#VALUE!</v>
      </c>
      <c r="AP17" s="273"/>
      <c r="AQ17" s="273" t="e">
        <f ca="1">Ануїтетна_графік_Авто!M18</f>
        <v>#VALUE!</v>
      </c>
      <c r="AR17" s="273"/>
      <c r="AS17" s="273" t="e">
        <f t="shared" ca="1" si="1"/>
        <v>#DIV/0!</v>
      </c>
      <c r="AT17" s="273"/>
      <c r="AU17" s="273"/>
      <c r="AV17" s="273"/>
      <c r="AW17" s="273"/>
      <c r="AX17" s="273"/>
      <c r="AY17" s="273"/>
      <c r="AZ17" s="273"/>
      <c r="BA17" s="273"/>
      <c r="BB17" s="273"/>
      <c r="BC17" s="273"/>
      <c r="BD17" s="273"/>
      <c r="BE17" s="273"/>
    </row>
    <row r="18" spans="1:57" x14ac:dyDescent="0.3">
      <c r="A18" s="273"/>
      <c r="B18" s="273"/>
      <c r="C18" s="273"/>
      <c r="D18" s="273"/>
      <c r="E18" s="273"/>
      <c r="F18" s="273"/>
      <c r="G18" s="273"/>
      <c r="H18" s="273"/>
      <c r="I18" s="273"/>
      <c r="J18" s="273"/>
      <c r="K18" s="273"/>
      <c r="L18" s="273"/>
      <c r="M18" s="273"/>
      <c r="N18" s="273"/>
      <c r="O18" s="273"/>
      <c r="P18" s="273"/>
      <c r="Q18" s="273"/>
      <c r="R18" s="273"/>
      <c r="S18" s="273"/>
      <c r="T18" s="273"/>
      <c r="U18" s="273"/>
      <c r="V18" s="273"/>
      <c r="W18" s="273" t="str">
        <f>IF(OR(G2=R28,G2=R31),"Класична","")</f>
        <v/>
      </c>
      <c r="X18" s="273"/>
      <c r="Y18" s="273"/>
      <c r="Z18" s="273"/>
      <c r="AA18" s="273">
        <f ca="1">Ануїтетна_графік_Авто!G19</f>
        <v>46638</v>
      </c>
      <c r="AB18" s="273">
        <v>15</v>
      </c>
      <c r="AC18" s="273"/>
      <c r="AD18" s="273" t="e">
        <f ca="1">Ануїтетна_графік_Авто!J19</f>
        <v>#VALUE!</v>
      </c>
      <c r="AE18" s="273"/>
      <c r="AF18" s="273" t="e">
        <f ca="1">Ануїтетна_графік_Авто!K19</f>
        <v>#VALUE!</v>
      </c>
      <c r="AG18" s="273"/>
      <c r="AH18" s="273" t="e">
        <f ca="1">Ануїтетна_графік_Авто!M19</f>
        <v>#VALUE!</v>
      </c>
      <c r="AI18" s="273"/>
      <c r="AJ18" s="273">
        <f t="shared" ca="1" si="0"/>
        <v>46660</v>
      </c>
      <c r="AK18" s="273">
        <v>15</v>
      </c>
      <c r="AL18" s="273"/>
      <c r="AM18" s="273" t="e">
        <f ca="1">Ануїтетна_графік_Авто!J19</f>
        <v>#VALUE!</v>
      </c>
      <c r="AN18" s="273"/>
      <c r="AO18" s="273" t="e">
        <f ca="1">Ануїтетна_графік_Авто!K19</f>
        <v>#VALUE!</v>
      </c>
      <c r="AP18" s="273"/>
      <c r="AQ18" s="273" t="e">
        <f ca="1">Ануїтетна_графік_Авто!M19</f>
        <v>#VALUE!</v>
      </c>
      <c r="AR18" s="273"/>
      <c r="AS18" s="273" t="e">
        <f t="shared" ca="1" si="1"/>
        <v>#DIV/0!</v>
      </c>
      <c r="AT18" s="273"/>
      <c r="AU18" s="273"/>
      <c r="AV18" s="273"/>
      <c r="AW18" s="273"/>
      <c r="AX18" s="273"/>
      <c r="AY18" s="273"/>
      <c r="AZ18" s="273"/>
      <c r="BA18" s="273"/>
      <c r="BB18" s="273"/>
      <c r="BC18" s="273"/>
      <c r="BD18" s="273"/>
      <c r="BE18" s="273"/>
    </row>
    <row r="19" spans="1:57" x14ac:dyDescent="0.3">
      <c r="A19" s="273"/>
      <c r="B19" s="273" t="s">
        <v>313</v>
      </c>
      <c r="C19" s="273"/>
      <c r="D19" s="273"/>
      <c r="E19" s="273"/>
      <c r="F19" s="273"/>
      <c r="G19" s="273" t="e">
        <f>G4-IF(S4=1,0,IF(S4=2,G4*G6,IF(S4=3,G6)))+IF(N10="Так",G10,0)</f>
        <v>#DIV/0!</v>
      </c>
      <c r="H19" s="273"/>
      <c r="I19" s="273"/>
      <c r="J19" s="273"/>
      <c r="K19" s="273"/>
      <c r="L19" s="273"/>
      <c r="M19" s="273"/>
      <c r="N19" s="273"/>
      <c r="O19" s="273"/>
      <c r="P19" s="273"/>
      <c r="Q19" s="273" t="s">
        <v>437</v>
      </c>
      <c r="R19" s="273"/>
      <c r="S19" s="273"/>
      <c r="T19" s="273" t="s">
        <v>438</v>
      </c>
      <c r="U19" s="273">
        <f ca="1">TODAY()</f>
        <v>46181</v>
      </c>
      <c r="V19" s="273"/>
      <c r="W19" s="273">
        <v>1</v>
      </c>
      <c r="X19" s="273">
        <v>31</v>
      </c>
      <c r="Y19" s="273"/>
      <c r="Z19" s="273"/>
      <c r="AA19" s="273">
        <f ca="1">Ануїтетна_графік_Авто!G20</f>
        <v>46668</v>
      </c>
      <c r="AB19" s="273">
        <v>16</v>
      </c>
      <c r="AC19" s="273"/>
      <c r="AD19" s="273" t="e">
        <f ca="1">Ануїтетна_графік_Авто!J20</f>
        <v>#VALUE!</v>
      </c>
      <c r="AE19" s="273"/>
      <c r="AF19" s="273" t="e">
        <f ca="1">Ануїтетна_графік_Авто!K20</f>
        <v>#VALUE!</v>
      </c>
      <c r="AG19" s="273"/>
      <c r="AH19" s="273" t="e">
        <f ca="1">Ануїтетна_графік_Авто!M20</f>
        <v>#VALUE!</v>
      </c>
      <c r="AI19" s="273"/>
      <c r="AJ19" s="273">
        <f t="shared" ca="1" si="0"/>
        <v>46691</v>
      </c>
      <c r="AK19" s="273">
        <v>16</v>
      </c>
      <c r="AL19" s="273"/>
      <c r="AM19" s="273" t="e">
        <f ca="1">Ануїтетна_графік_Авто!J20</f>
        <v>#VALUE!</v>
      </c>
      <c r="AN19" s="273"/>
      <c r="AO19" s="273" t="e">
        <f ca="1">Ануїтетна_графік_Авто!K20</f>
        <v>#VALUE!</v>
      </c>
      <c r="AP19" s="273"/>
      <c r="AQ19" s="273" t="e">
        <f ca="1">Ануїтетна_графік_Авто!M20</f>
        <v>#VALUE!</v>
      </c>
      <c r="AR19" s="273"/>
      <c r="AS19" s="273" t="e">
        <f t="shared" ca="1" si="1"/>
        <v>#DIV/0!</v>
      </c>
      <c r="AT19" s="273"/>
      <c r="AU19" s="273"/>
      <c r="AV19" s="273"/>
      <c r="AW19" s="273"/>
      <c r="AX19" s="273"/>
      <c r="AY19" s="273"/>
      <c r="AZ19" s="273"/>
      <c r="BA19" s="273"/>
      <c r="BB19" s="273"/>
      <c r="BC19" s="273"/>
      <c r="BD19" s="273"/>
      <c r="BE19" s="273"/>
    </row>
    <row r="20" spans="1:57" x14ac:dyDescent="0.3">
      <c r="A20" s="273"/>
      <c r="B20" s="273"/>
      <c r="C20" s="273"/>
      <c r="D20" s="273"/>
      <c r="E20" s="273"/>
      <c r="F20" s="273"/>
      <c r="G20" s="273"/>
      <c r="H20" s="273"/>
      <c r="I20" s="273"/>
      <c r="J20" s="273"/>
      <c r="K20" s="273"/>
      <c r="L20" s="273"/>
      <c r="M20" s="273"/>
      <c r="N20" s="273"/>
      <c r="O20" s="273"/>
      <c r="P20" s="273"/>
      <c r="Q20" s="273">
        <f>IF($G$13="Так",ROUND((G4-G6+N15)*G12/100,2),IF($G$16="Ні",ROUND((G4-G6)*G12/100,2),0))</f>
        <v>0</v>
      </c>
      <c r="R20" s="273"/>
      <c r="S20" s="273"/>
      <c r="T20" s="273" t="s">
        <v>439</v>
      </c>
      <c r="U20" s="273">
        <f ca="1">DAY(U19)</f>
        <v>8</v>
      </c>
      <c r="V20" s="273"/>
      <c r="W20" s="273">
        <v>2</v>
      </c>
      <c r="X20" s="273">
        <v>28</v>
      </c>
      <c r="Y20" s="273"/>
      <c r="Z20" s="273"/>
      <c r="AA20" s="273">
        <f ca="1">Ануїтетна_графік_Авто!G21</f>
        <v>46699</v>
      </c>
      <c r="AB20" s="273">
        <v>17</v>
      </c>
      <c r="AC20" s="273"/>
      <c r="AD20" s="273" t="e">
        <f ca="1">Ануїтетна_графік_Авто!J21</f>
        <v>#VALUE!</v>
      </c>
      <c r="AE20" s="273"/>
      <c r="AF20" s="273" t="e">
        <f ca="1">Ануїтетна_графік_Авто!K21</f>
        <v>#VALUE!</v>
      </c>
      <c r="AG20" s="273"/>
      <c r="AH20" s="273" t="e">
        <f ca="1">Ануїтетна_графік_Авто!M21</f>
        <v>#VALUE!</v>
      </c>
      <c r="AI20" s="273"/>
      <c r="AJ20" s="273">
        <f t="shared" ca="1" si="0"/>
        <v>46721</v>
      </c>
      <c r="AK20" s="273">
        <v>17</v>
      </c>
      <c r="AL20" s="273"/>
      <c r="AM20" s="273" t="e">
        <f ca="1">Ануїтетна_графік_Авто!J21</f>
        <v>#VALUE!</v>
      </c>
      <c r="AN20" s="273"/>
      <c r="AO20" s="273" t="e">
        <f ca="1">Ануїтетна_графік_Авто!K21</f>
        <v>#VALUE!</v>
      </c>
      <c r="AP20" s="273"/>
      <c r="AQ20" s="273" t="e">
        <f ca="1">Ануїтетна_графік_Авто!M21</f>
        <v>#VALUE!</v>
      </c>
      <c r="AR20" s="273"/>
      <c r="AS20" s="273" t="e">
        <f t="shared" ca="1" si="1"/>
        <v>#DIV/0!</v>
      </c>
      <c r="AT20" s="273"/>
      <c r="AU20" s="273"/>
      <c r="AV20" s="273"/>
      <c r="AW20" s="273"/>
      <c r="AX20" s="273"/>
      <c r="AY20" s="273"/>
      <c r="AZ20" s="273"/>
      <c r="BA20" s="273"/>
      <c r="BB20" s="273"/>
      <c r="BC20" s="273"/>
      <c r="BD20" s="273"/>
      <c r="BE20" s="273"/>
    </row>
    <row r="21" spans="1:57" x14ac:dyDescent="0.3">
      <c r="A21" s="273"/>
      <c r="B21" s="273" t="s">
        <v>440</v>
      </c>
      <c r="C21" s="273"/>
      <c r="D21" s="273"/>
      <c r="E21" s="273"/>
      <c r="F21" s="273"/>
      <c r="G21" s="273"/>
      <c r="H21" s="273"/>
      <c r="I21" s="273"/>
      <c r="J21" s="273"/>
      <c r="K21" s="273"/>
      <c r="L21" s="273"/>
      <c r="M21" s="273"/>
      <c r="N21" s="273"/>
      <c r="O21" s="273"/>
      <c r="P21" s="273"/>
      <c r="Q21" s="273"/>
      <c r="R21" s="273"/>
      <c r="S21" s="273"/>
      <c r="T21" s="273" t="s">
        <v>416</v>
      </c>
      <c r="U21" s="273">
        <f ca="1">MONTH(U19)</f>
        <v>6</v>
      </c>
      <c r="V21" s="273"/>
      <c r="W21" s="273">
        <v>3</v>
      </c>
      <c r="X21" s="273">
        <v>31</v>
      </c>
      <c r="Y21" s="273"/>
      <c r="Z21" s="273"/>
      <c r="AA21" s="273">
        <f ca="1">Ануїтетна_графік_Авто!G22</f>
        <v>46729</v>
      </c>
      <c r="AB21" s="273">
        <v>18</v>
      </c>
      <c r="AC21" s="273"/>
      <c r="AD21" s="273" t="e">
        <f ca="1">Ануїтетна_графік_Авто!J22</f>
        <v>#VALUE!</v>
      </c>
      <c r="AE21" s="273"/>
      <c r="AF21" s="273" t="e">
        <f ca="1">Ануїтетна_графік_Авто!K22</f>
        <v>#VALUE!</v>
      </c>
      <c r="AG21" s="273"/>
      <c r="AH21" s="273" t="e">
        <f ca="1">Ануїтетна_графік_Авто!M22</f>
        <v>#VALUE!</v>
      </c>
      <c r="AI21" s="273"/>
      <c r="AJ21" s="273">
        <f t="shared" ca="1" si="0"/>
        <v>46752</v>
      </c>
      <c r="AK21" s="273">
        <v>18</v>
      </c>
      <c r="AL21" s="273"/>
      <c r="AM21" s="273" t="e">
        <f ca="1">Ануїтетна_графік_Авто!J22</f>
        <v>#VALUE!</v>
      </c>
      <c r="AN21" s="273"/>
      <c r="AO21" s="273" t="e">
        <f ca="1">Ануїтетна_графік_Авто!K22</f>
        <v>#VALUE!</v>
      </c>
      <c r="AP21" s="273"/>
      <c r="AQ21" s="273" t="e">
        <f ca="1">Ануїтетна_графік_Авто!M22</f>
        <v>#VALUE!</v>
      </c>
      <c r="AR21" s="273"/>
      <c r="AS21" s="273" t="e">
        <f t="shared" ca="1" si="1"/>
        <v>#DIV/0!</v>
      </c>
      <c r="AT21" s="273"/>
      <c r="AU21" s="273"/>
      <c r="AV21" s="273"/>
      <c r="AW21" s="273"/>
      <c r="AX21" s="273"/>
      <c r="AY21" s="273"/>
      <c r="AZ21" s="273"/>
      <c r="BA21" s="273"/>
      <c r="BB21" s="273"/>
      <c r="BC21" s="273"/>
      <c r="BD21" s="273"/>
      <c r="BE21" s="273"/>
    </row>
    <row r="22" spans="1:57" x14ac:dyDescent="0.3">
      <c r="A22" s="273"/>
      <c r="B22" s="273" t="s">
        <v>415</v>
      </c>
      <c r="C22" s="273"/>
      <c r="D22" s="273"/>
      <c r="E22" s="273"/>
      <c r="F22" s="273"/>
      <c r="G22" s="273"/>
      <c r="H22" s="273"/>
      <c r="I22" s="273"/>
      <c r="J22" s="273"/>
      <c r="K22" s="273"/>
      <c r="L22" s="273"/>
      <c r="M22" s="273"/>
      <c r="N22" s="273"/>
      <c r="O22" s="273"/>
      <c r="P22" s="273"/>
      <c r="Q22" s="273"/>
      <c r="R22" s="273"/>
      <c r="S22" s="273"/>
      <c r="T22" s="273" t="s">
        <v>441</v>
      </c>
      <c r="U22" s="273">
        <v>1200000</v>
      </c>
      <c r="V22" s="273"/>
      <c r="W22" s="273">
        <v>4</v>
      </c>
      <c r="X22" s="273">
        <v>30</v>
      </c>
      <c r="Y22" s="273"/>
      <c r="Z22" s="273"/>
      <c r="AA22" s="273">
        <f ca="1">Ануїтетна_графік_Авто!G23</f>
        <v>46760</v>
      </c>
      <c r="AB22" s="273">
        <v>19</v>
      </c>
      <c r="AC22" s="273"/>
      <c r="AD22" s="273" t="e">
        <f ca="1">Ануїтетна_графік_Авто!J23</f>
        <v>#VALUE!</v>
      </c>
      <c r="AE22" s="273"/>
      <c r="AF22" s="273" t="e">
        <f ca="1">Ануїтетна_графік_Авто!K23</f>
        <v>#VALUE!</v>
      </c>
      <c r="AG22" s="273"/>
      <c r="AH22" s="273" t="e">
        <f ca="1">Ануїтетна_графік_Авто!M23</f>
        <v>#VALUE!</v>
      </c>
      <c r="AI22" s="273"/>
      <c r="AJ22" s="273">
        <f t="shared" ca="1" si="0"/>
        <v>46783</v>
      </c>
      <c r="AK22" s="273">
        <v>19</v>
      </c>
      <c r="AL22" s="273"/>
      <c r="AM22" s="273" t="e">
        <f ca="1">Ануїтетна_графік_Авто!J23</f>
        <v>#VALUE!</v>
      </c>
      <c r="AN22" s="273"/>
      <c r="AO22" s="273" t="e">
        <f ca="1">Ануїтетна_графік_Авто!K23</f>
        <v>#VALUE!</v>
      </c>
      <c r="AP22" s="273"/>
      <c r="AQ22" s="273" t="e">
        <f ca="1">Ануїтетна_графік_Авто!M23</f>
        <v>#VALUE!</v>
      </c>
      <c r="AR22" s="273"/>
      <c r="AS22" s="273" t="e">
        <f t="shared" ca="1" si="1"/>
        <v>#DIV/0!</v>
      </c>
      <c r="AT22" s="273"/>
      <c r="AU22" s="273"/>
      <c r="AV22" s="273"/>
      <c r="AW22" s="273"/>
      <c r="AX22" s="273"/>
      <c r="AY22" s="273"/>
      <c r="AZ22" s="273"/>
      <c r="BA22" s="273"/>
      <c r="BB22" s="273"/>
      <c r="BC22" s="273"/>
      <c r="BD22" s="273"/>
      <c r="BE22" s="273"/>
    </row>
    <row r="23" spans="1:57" x14ac:dyDescent="0.3">
      <c r="A23" s="273"/>
      <c r="B23" s="273" t="s">
        <v>416</v>
      </c>
      <c r="C23" s="273"/>
      <c r="D23" s="273" t="s">
        <v>417</v>
      </c>
      <c r="E23" s="273" t="s">
        <v>418</v>
      </c>
      <c r="F23" s="273" t="s">
        <v>419</v>
      </c>
      <c r="G23" s="273"/>
      <c r="H23" s="273" t="s">
        <v>535</v>
      </c>
      <c r="I23" s="273"/>
      <c r="J23" s="273"/>
      <c r="K23" s="273"/>
      <c r="L23" s="273"/>
      <c r="M23" s="273"/>
      <c r="N23" s="273"/>
      <c r="O23" s="273"/>
      <c r="P23" s="273"/>
      <c r="Q23" s="273"/>
      <c r="R23" s="273"/>
      <c r="S23" s="273"/>
      <c r="T23" s="273" t="s">
        <v>442</v>
      </c>
      <c r="U23" s="286">
        <f>'Калькулятор '!V23</f>
        <v>0</v>
      </c>
      <c r="V23" s="273"/>
      <c r="W23" s="273">
        <v>5</v>
      </c>
      <c r="X23" s="273">
        <v>31</v>
      </c>
      <c r="Y23" s="273"/>
      <c r="Z23" s="273"/>
      <c r="AA23" s="273">
        <f ca="1">Ануїтетна_графік_Авто!G24</f>
        <v>46791</v>
      </c>
      <c r="AB23" s="273">
        <v>20</v>
      </c>
      <c r="AC23" s="273"/>
      <c r="AD23" s="273" t="e">
        <f ca="1">Ануїтетна_графік_Авто!J24</f>
        <v>#VALUE!</v>
      </c>
      <c r="AE23" s="273"/>
      <c r="AF23" s="273" t="e">
        <f ca="1">Ануїтетна_графік_Авто!K24</f>
        <v>#VALUE!</v>
      </c>
      <c r="AG23" s="273"/>
      <c r="AH23" s="273" t="e">
        <f ca="1">Ануїтетна_графік_Авто!M24</f>
        <v>#VALUE!</v>
      </c>
      <c r="AI23" s="273"/>
      <c r="AJ23" s="273">
        <f t="shared" ca="1" si="0"/>
        <v>46812</v>
      </c>
      <c r="AK23" s="273">
        <v>20</v>
      </c>
      <c r="AL23" s="273"/>
      <c r="AM23" s="273" t="e">
        <f ca="1">Ануїтетна_графік_Авто!J24</f>
        <v>#VALUE!</v>
      </c>
      <c r="AN23" s="273"/>
      <c r="AO23" s="273" t="e">
        <f ca="1">Ануїтетна_графік_Авто!K24</f>
        <v>#VALUE!</v>
      </c>
      <c r="AP23" s="273"/>
      <c r="AQ23" s="273" t="e">
        <f ca="1">Ануїтетна_графік_Авто!M24</f>
        <v>#VALUE!</v>
      </c>
      <c r="AR23" s="273"/>
      <c r="AS23" s="273" t="e">
        <f t="shared" ca="1" si="1"/>
        <v>#DIV/0!</v>
      </c>
      <c r="AT23" s="273"/>
      <c r="AU23" s="273"/>
      <c r="AV23" s="273"/>
      <c r="AW23" s="273"/>
      <c r="AX23" s="273"/>
      <c r="AY23" s="273"/>
      <c r="AZ23" s="273"/>
      <c r="BA23" s="273"/>
      <c r="BB23" s="273"/>
      <c r="BC23" s="273"/>
      <c r="BD23" s="273"/>
      <c r="BE23" s="273"/>
    </row>
    <row r="24" spans="1:57" x14ac:dyDescent="0.3">
      <c r="A24" s="273"/>
      <c r="B24" s="273"/>
      <c r="C24" s="273"/>
      <c r="D24" s="273"/>
      <c r="E24" s="273"/>
      <c r="F24" s="273"/>
      <c r="G24" s="273"/>
      <c r="H24" s="273"/>
      <c r="I24" s="273"/>
      <c r="J24" s="273"/>
      <c r="K24" s="273"/>
      <c r="L24" s="273"/>
      <c r="M24" s="273"/>
      <c r="N24" s="273"/>
      <c r="O24" s="273"/>
      <c r="P24" s="273">
        <f ca="1">TODAY()</f>
        <v>46181</v>
      </c>
      <c r="Q24" s="273" t="s">
        <v>438</v>
      </c>
      <c r="R24" s="273" t="s">
        <v>443</v>
      </c>
      <c r="S24" s="273"/>
      <c r="T24" s="273"/>
      <c r="U24" s="273"/>
      <c r="V24" s="273"/>
      <c r="W24" s="273"/>
      <c r="X24" s="273"/>
      <c r="Y24" s="273"/>
      <c r="Z24" s="273"/>
      <c r="AA24" s="273">
        <f ca="1">Ануїтетна_графік_Авто!G25</f>
        <v>46820</v>
      </c>
      <c r="AB24" s="273">
        <v>21</v>
      </c>
      <c r="AC24" s="273"/>
      <c r="AD24" s="273" t="e">
        <f ca="1">Ануїтетна_графік_Авто!J25</f>
        <v>#VALUE!</v>
      </c>
      <c r="AE24" s="273"/>
      <c r="AF24" s="273" t="e">
        <f ca="1">Ануїтетна_графік_Авто!K25</f>
        <v>#VALUE!</v>
      </c>
      <c r="AG24" s="273"/>
      <c r="AH24" s="273" t="e">
        <f ca="1">Ануїтетна_графік_Авто!M25</f>
        <v>#VALUE!</v>
      </c>
      <c r="AI24" s="273"/>
      <c r="AJ24" s="273">
        <f t="shared" ca="1" si="0"/>
        <v>46843</v>
      </c>
      <c r="AK24" s="273">
        <v>21</v>
      </c>
      <c r="AL24" s="273"/>
      <c r="AM24" s="273" t="e">
        <f ca="1">Ануїтетна_графік_Авто!J25</f>
        <v>#VALUE!</v>
      </c>
      <c r="AN24" s="273"/>
      <c r="AO24" s="273" t="e">
        <f ca="1">Ануїтетна_графік_Авто!K25</f>
        <v>#VALUE!</v>
      </c>
      <c r="AP24" s="273"/>
      <c r="AQ24" s="273" t="e">
        <f ca="1">Ануїтетна_графік_Авто!M25</f>
        <v>#VALUE!</v>
      </c>
      <c r="AR24" s="273"/>
      <c r="AS24" s="273" t="e">
        <f t="shared" ca="1" si="1"/>
        <v>#DIV/0!</v>
      </c>
      <c r="AT24" s="273"/>
      <c r="AU24" s="273"/>
      <c r="AV24" s="273"/>
      <c r="AW24" s="273"/>
      <c r="AX24" s="273"/>
      <c r="AY24" s="273"/>
      <c r="AZ24" s="273"/>
      <c r="BA24" s="273"/>
      <c r="BB24" s="273"/>
      <c r="BC24" s="273"/>
      <c r="BD24" s="273"/>
      <c r="BE24" s="273"/>
    </row>
    <row r="25" spans="1:57" x14ac:dyDescent="0.3">
      <c r="A25" s="273"/>
      <c r="B25" s="273">
        <v>1</v>
      </c>
      <c r="C25" s="273"/>
      <c r="D25" s="273">
        <v>15820.916666666668</v>
      </c>
      <c r="E25" s="273"/>
      <c r="F25" s="273">
        <v>7830.083333333333</v>
      </c>
      <c r="G25" s="273"/>
      <c r="H25" s="273">
        <v>23651</v>
      </c>
      <c r="I25" s="273"/>
      <c r="J25" s="273"/>
      <c r="K25" s="273" t="s">
        <v>444</v>
      </c>
      <c r="L25" s="273"/>
      <c r="M25" s="273"/>
      <c r="N25" s="273" t="e">
        <f>IF($S$4=3,$G$6,IF($S$4=2,$G$4*$G$6,IF($S$4=1,0)))</f>
        <v>#DIV/0!</v>
      </c>
      <c r="O25" s="273"/>
      <c r="P25" s="273">
        <f ca="1">IF(P24&lt;Q26,R25,IF(P24&lt;Q27,R26,R27))</f>
        <v>2589</v>
      </c>
      <c r="Q25" s="273">
        <v>44562</v>
      </c>
      <c r="R25" s="273">
        <v>2589</v>
      </c>
      <c r="S25" s="273"/>
      <c r="T25" s="273"/>
      <c r="U25" s="273"/>
      <c r="V25" s="273"/>
      <c r="W25" s="273">
        <v>6</v>
      </c>
      <c r="X25" s="273">
        <v>30</v>
      </c>
      <c r="Y25" s="273"/>
      <c r="Z25" s="273"/>
      <c r="AA25" s="273">
        <f ca="1">Ануїтетна_графік_Авто!G26</f>
        <v>46851</v>
      </c>
      <c r="AB25" s="273">
        <v>22</v>
      </c>
      <c r="AC25" s="273"/>
      <c r="AD25" s="273" t="e">
        <f ca="1">Ануїтетна_графік_Авто!J26</f>
        <v>#VALUE!</v>
      </c>
      <c r="AE25" s="273"/>
      <c r="AF25" s="273" t="e">
        <f ca="1">Ануїтетна_графік_Авто!K26</f>
        <v>#VALUE!</v>
      </c>
      <c r="AG25" s="273"/>
      <c r="AH25" s="273" t="e">
        <f ca="1">Ануїтетна_графік_Авто!M26</f>
        <v>#VALUE!</v>
      </c>
      <c r="AI25" s="273"/>
      <c r="AJ25" s="273">
        <f t="shared" ca="1" si="0"/>
        <v>46873</v>
      </c>
      <c r="AK25" s="273">
        <v>22</v>
      </c>
      <c r="AL25" s="273"/>
      <c r="AM25" s="273" t="e">
        <f ca="1">Ануїтетна_графік_Авто!J26</f>
        <v>#VALUE!</v>
      </c>
      <c r="AN25" s="273"/>
      <c r="AO25" s="273" t="e">
        <f ca="1">Ануїтетна_графік_Авто!K26</f>
        <v>#VALUE!</v>
      </c>
      <c r="AP25" s="273"/>
      <c r="AQ25" s="273" t="e">
        <f ca="1">Ануїтетна_графік_Авто!M26</f>
        <v>#VALUE!</v>
      </c>
      <c r="AR25" s="273"/>
      <c r="AS25" s="273" t="e">
        <f t="shared" ca="1" si="1"/>
        <v>#DIV/0!</v>
      </c>
      <c r="AT25" s="273"/>
      <c r="AU25" s="273"/>
      <c r="AV25" s="273"/>
      <c r="AW25" s="273"/>
      <c r="AX25" s="273"/>
      <c r="AY25" s="273"/>
      <c r="AZ25" s="273"/>
      <c r="BA25" s="273"/>
      <c r="BB25" s="273"/>
      <c r="BC25" s="273"/>
      <c r="BD25" s="273"/>
      <c r="BE25" s="273"/>
    </row>
    <row r="26" spans="1:57" x14ac:dyDescent="0.3">
      <c r="A26" s="273"/>
      <c r="B26" s="273">
        <v>2</v>
      </c>
      <c r="C26" s="273"/>
      <c r="D26" s="273">
        <v>16244.761422916667</v>
      </c>
      <c r="E26" s="273"/>
      <c r="F26" s="273">
        <v>7406.2385770833334</v>
      </c>
      <c r="G26" s="273"/>
      <c r="H26" s="273">
        <v>23651</v>
      </c>
      <c r="I26" s="273"/>
      <c r="J26" s="273"/>
      <c r="K26" s="273"/>
      <c r="L26" s="273"/>
      <c r="M26" s="273"/>
      <c r="N26" s="273"/>
      <c r="O26" s="273"/>
      <c r="P26" s="273"/>
      <c r="Q26" s="273">
        <v>44562</v>
      </c>
      <c r="R26" s="273">
        <v>2589</v>
      </c>
      <c r="S26" s="273"/>
      <c r="T26" s="273"/>
      <c r="U26" s="273"/>
      <c r="V26" s="273"/>
      <c r="W26" s="273">
        <v>7</v>
      </c>
      <c r="X26" s="273">
        <v>31</v>
      </c>
      <c r="Y26" s="273"/>
      <c r="Z26" s="273"/>
      <c r="AA26" s="273">
        <f ca="1">Ануїтетна_графік_Авто!G27</f>
        <v>46881</v>
      </c>
      <c r="AB26" s="273">
        <f>AB25+1</f>
        <v>23</v>
      </c>
      <c r="AC26" s="273"/>
      <c r="AD26" s="273" t="e">
        <f ca="1">Ануїтетна_графік_Авто!J27</f>
        <v>#VALUE!</v>
      </c>
      <c r="AE26" s="273"/>
      <c r="AF26" s="273" t="e">
        <f ca="1">Ануїтетна_графік_Авто!K27</f>
        <v>#VALUE!</v>
      </c>
      <c r="AG26" s="273"/>
      <c r="AH26" s="273" t="e">
        <f ca="1">Ануїтетна_графік_Авто!M27</f>
        <v>#VALUE!</v>
      </c>
      <c r="AI26" s="273"/>
      <c r="AJ26" s="273">
        <f t="shared" ca="1" si="0"/>
        <v>46904</v>
      </c>
      <c r="AK26" s="273">
        <v>23</v>
      </c>
      <c r="AL26" s="273"/>
      <c r="AM26" s="273" t="e">
        <f ca="1">Ануїтетна_графік_Авто!J27</f>
        <v>#VALUE!</v>
      </c>
      <c r="AN26" s="273"/>
      <c r="AO26" s="273" t="e">
        <f ca="1">Ануїтетна_графік_Авто!K27</f>
        <v>#VALUE!</v>
      </c>
      <c r="AP26" s="273"/>
      <c r="AQ26" s="273" t="e">
        <f ca="1">Ануїтетна_графік_Авто!M27</f>
        <v>#VALUE!</v>
      </c>
      <c r="AR26" s="273"/>
      <c r="AS26" s="273" t="e">
        <f t="shared" ca="1" si="1"/>
        <v>#DIV/0!</v>
      </c>
      <c r="AT26" s="273"/>
      <c r="AU26" s="273"/>
      <c r="AV26" s="273"/>
      <c r="AW26" s="273"/>
      <c r="AX26" s="273"/>
      <c r="AY26" s="273"/>
      <c r="AZ26" s="273"/>
      <c r="BA26" s="273"/>
      <c r="BB26" s="273"/>
      <c r="BC26" s="273"/>
      <c r="BD26" s="273"/>
      <c r="BE26" s="273"/>
    </row>
    <row r="27" spans="1:57" x14ac:dyDescent="0.3">
      <c r="A27" s="273"/>
      <c r="B27" s="273">
        <v>3</v>
      </c>
      <c r="C27" s="273"/>
      <c r="D27" s="273">
        <v>16179.597997497063</v>
      </c>
      <c r="E27" s="273"/>
      <c r="F27" s="273">
        <v>7471.4020025029367</v>
      </c>
      <c r="G27" s="273"/>
      <c r="H27" s="273">
        <v>23651</v>
      </c>
      <c r="I27" s="273"/>
      <c r="J27" s="273"/>
      <c r="K27" s="273"/>
      <c r="L27" s="273"/>
      <c r="M27" s="273"/>
      <c r="N27" s="273"/>
      <c r="O27" s="273"/>
      <c r="P27" s="273"/>
      <c r="Q27" s="273">
        <v>44562</v>
      </c>
      <c r="R27" s="273">
        <v>2589</v>
      </c>
      <c r="S27" s="273"/>
      <c r="T27" s="273"/>
      <c r="U27" s="273"/>
      <c r="V27" s="273"/>
      <c r="W27" s="273">
        <v>8</v>
      </c>
      <c r="X27" s="273">
        <v>31</v>
      </c>
      <c r="Y27" s="273"/>
      <c r="Z27" s="273"/>
      <c r="AA27" s="273">
        <f ca="1">Ануїтетна_графік_Авто!G28</f>
        <v>46912</v>
      </c>
      <c r="AB27" s="273">
        <f>AB26+1</f>
        <v>24</v>
      </c>
      <c r="AC27" s="273"/>
      <c r="AD27" s="273" t="e">
        <f ca="1">Ануїтетна_графік_Авто!J28</f>
        <v>#VALUE!</v>
      </c>
      <c r="AE27" s="273"/>
      <c r="AF27" s="273" t="e">
        <f ca="1">Ануїтетна_графік_Авто!K28</f>
        <v>#VALUE!</v>
      </c>
      <c r="AG27" s="273"/>
      <c r="AH27" s="273" t="e">
        <f ca="1">Ануїтетна_графік_Авто!M28</f>
        <v>#VALUE!</v>
      </c>
      <c r="AI27" s="273"/>
      <c r="AJ27" s="273">
        <f t="shared" ca="1" si="0"/>
        <v>46934</v>
      </c>
      <c r="AK27" s="273">
        <v>24</v>
      </c>
      <c r="AL27" s="273"/>
      <c r="AM27" s="273" t="e">
        <f ca="1">Ануїтетна_графік_Авто!J28</f>
        <v>#VALUE!</v>
      </c>
      <c r="AN27" s="273"/>
      <c r="AO27" s="273" t="e">
        <f ca="1">Ануїтетна_графік_Авто!K28</f>
        <v>#VALUE!</v>
      </c>
      <c r="AP27" s="273"/>
      <c r="AQ27" s="273" t="e">
        <f ca="1">Ануїтетна_графік_Авто!M28</f>
        <v>#VALUE!</v>
      </c>
      <c r="AR27" s="273"/>
      <c r="AS27" s="273" t="e">
        <f t="shared" ca="1" si="1"/>
        <v>#DIV/0!</v>
      </c>
      <c r="AT27" s="273"/>
      <c r="AU27" s="273"/>
      <c r="AV27" s="273"/>
      <c r="AW27" s="273"/>
      <c r="AX27" s="273"/>
      <c r="AY27" s="273"/>
      <c r="AZ27" s="273"/>
      <c r="BA27" s="273"/>
      <c r="BB27" s="273"/>
      <c r="BC27" s="273"/>
      <c r="BD27" s="273"/>
      <c r="BE27" s="273"/>
    </row>
    <row r="28" spans="1:57" x14ac:dyDescent="0.3">
      <c r="A28" s="273"/>
      <c r="B28" s="273">
        <v>4</v>
      </c>
      <c r="C28" s="273"/>
      <c r="D28" s="273">
        <v>16360.580284097399</v>
      </c>
      <c r="E28" s="273"/>
      <c r="F28" s="273">
        <v>7290.4197159026007</v>
      </c>
      <c r="G28" s="273"/>
      <c r="H28" s="273">
        <v>23651</v>
      </c>
      <c r="I28" s="273"/>
      <c r="J28" s="273"/>
      <c r="K28" s="273" t="s">
        <v>445</v>
      </c>
      <c r="L28" s="273"/>
      <c r="M28" s="273"/>
      <c r="N28" s="273" t="e">
        <f>G10</f>
        <v>#DIV/0!</v>
      </c>
      <c r="O28" s="273"/>
      <c r="P28" s="273"/>
      <c r="Q28" s="273"/>
      <c r="R28" s="273"/>
      <c r="S28" s="273"/>
      <c r="T28" s="273"/>
      <c r="U28" s="273"/>
      <c r="V28" s="273"/>
      <c r="W28" s="273">
        <v>9</v>
      </c>
      <c r="X28" s="273">
        <v>30</v>
      </c>
      <c r="Y28" s="273"/>
      <c r="Z28" s="273"/>
      <c r="AA28" s="273">
        <f ca="1">Ануїтетна_графік_Авто!G29</f>
        <v>46942</v>
      </c>
      <c r="AB28" s="273">
        <f t="shared" ref="AB28:AB78" si="2">AB27+1</f>
        <v>25</v>
      </c>
      <c r="AC28" s="273"/>
      <c r="AD28" s="273" t="e">
        <f ca="1">Ануїтетна_графік_Авто!J29</f>
        <v>#VALUE!</v>
      </c>
      <c r="AE28" s="273"/>
      <c r="AF28" s="273" t="e">
        <f ca="1">Ануїтетна_графік_Авто!K29</f>
        <v>#VALUE!</v>
      </c>
      <c r="AG28" s="273"/>
      <c r="AH28" s="273" t="e">
        <f ca="1">Ануїтетна_графік_Авто!M29</f>
        <v>#VALUE!</v>
      </c>
      <c r="AI28" s="273"/>
      <c r="AJ28" s="273">
        <f t="shared" ca="1" si="0"/>
        <v>46965</v>
      </c>
      <c r="AK28" s="273">
        <v>25</v>
      </c>
      <c r="AL28" s="273"/>
      <c r="AM28" s="273" t="e">
        <f ca="1">Ануїтетна_графік_Авто!J29</f>
        <v>#VALUE!</v>
      </c>
      <c r="AN28" s="273"/>
      <c r="AO28" s="273" t="e">
        <f ca="1">Ануїтетна_графік_Авто!K29</f>
        <v>#VALUE!</v>
      </c>
      <c r="AP28" s="273"/>
      <c r="AQ28" s="273" t="e">
        <f ca="1">Ануїтетна_графік_Авто!M29</f>
        <v>#VALUE!</v>
      </c>
      <c r="AR28" s="273"/>
      <c r="AS28" s="273" t="e">
        <f t="shared" ca="1" si="1"/>
        <v>#DIV/0!</v>
      </c>
      <c r="AT28" s="273"/>
      <c r="AU28" s="273"/>
      <c r="AV28" s="273"/>
      <c r="AW28" s="273"/>
      <c r="AX28" s="273"/>
      <c r="AY28" s="273"/>
      <c r="AZ28" s="273"/>
      <c r="BA28" s="273"/>
      <c r="BB28" s="273"/>
      <c r="BC28" s="273"/>
      <c r="BD28" s="273"/>
      <c r="BE28" s="273"/>
    </row>
    <row r="29" spans="1:57" x14ac:dyDescent="0.3">
      <c r="A29" s="273"/>
      <c r="B29" s="273">
        <v>5</v>
      </c>
      <c r="C29" s="273"/>
      <c r="D29" s="273">
        <v>16772.858395217998</v>
      </c>
      <c r="E29" s="273"/>
      <c r="F29" s="273">
        <v>6878.1416047820012</v>
      </c>
      <c r="G29" s="273"/>
      <c r="H29" s="273">
        <v>23651</v>
      </c>
      <c r="I29" s="273"/>
      <c r="J29" s="273"/>
      <c r="K29" s="273"/>
      <c r="L29" s="273"/>
      <c r="M29" s="273"/>
      <c r="N29" s="273"/>
      <c r="O29" s="273"/>
      <c r="P29" s="273"/>
      <c r="Q29" s="273"/>
      <c r="R29" s="273"/>
      <c r="S29" s="273"/>
      <c r="T29" s="273"/>
      <c r="U29" s="273"/>
      <c r="V29" s="273"/>
      <c r="W29" s="273">
        <v>10</v>
      </c>
      <c r="X29" s="273">
        <v>31</v>
      </c>
      <c r="Y29" s="273"/>
      <c r="Z29" s="273"/>
      <c r="AA29" s="273">
        <f ca="1">Ануїтетна_графік_Авто!G30</f>
        <v>46973</v>
      </c>
      <c r="AB29" s="273">
        <f t="shared" si="2"/>
        <v>26</v>
      </c>
      <c r="AC29" s="273"/>
      <c r="AD29" s="273" t="e">
        <f ca="1">Ануїтетна_графік_Авто!J30</f>
        <v>#VALUE!</v>
      </c>
      <c r="AE29" s="273"/>
      <c r="AF29" s="273" t="e">
        <f ca="1">Ануїтетна_графік_Авто!K30</f>
        <v>#VALUE!</v>
      </c>
      <c r="AG29" s="273"/>
      <c r="AH29" s="273" t="e">
        <f ca="1">Ануїтетна_графік_Авто!M30</f>
        <v>#VALUE!</v>
      </c>
      <c r="AI29" s="273"/>
      <c r="AJ29" s="273">
        <f t="shared" ca="1" si="0"/>
        <v>46996</v>
      </c>
      <c r="AK29" s="273">
        <v>26</v>
      </c>
      <c r="AL29" s="273"/>
      <c r="AM29" s="273" t="e">
        <f ca="1">Ануїтетна_графік_Авто!J30</f>
        <v>#VALUE!</v>
      </c>
      <c r="AN29" s="273"/>
      <c r="AO29" s="273" t="e">
        <f ca="1">Ануїтетна_графік_Авто!K30</f>
        <v>#VALUE!</v>
      </c>
      <c r="AP29" s="273"/>
      <c r="AQ29" s="273" t="e">
        <f ca="1">Ануїтетна_графік_Авто!M30</f>
        <v>#VALUE!</v>
      </c>
      <c r="AR29" s="273"/>
      <c r="AS29" s="273" t="e">
        <f t="shared" ca="1" si="1"/>
        <v>#DIV/0!</v>
      </c>
      <c r="AT29" s="273"/>
      <c r="AU29" s="273"/>
      <c r="AV29" s="273"/>
      <c r="AW29" s="273"/>
      <c r="AX29" s="273"/>
      <c r="AY29" s="273"/>
      <c r="AZ29" s="273"/>
      <c r="BA29" s="273"/>
      <c r="BB29" s="273"/>
      <c r="BC29" s="273"/>
      <c r="BD29" s="273"/>
      <c r="BE29" s="273"/>
    </row>
    <row r="30" spans="1:57" x14ac:dyDescent="0.3">
      <c r="A30" s="273"/>
      <c r="B30" s="273">
        <v>6</v>
      </c>
      <c r="C30" s="273"/>
      <c r="D30" s="273">
        <v>16731.20540692444</v>
      </c>
      <c r="E30" s="273"/>
      <c r="F30" s="273">
        <v>6919.7945930755586</v>
      </c>
      <c r="G30" s="273"/>
      <c r="H30" s="273">
        <v>23651</v>
      </c>
      <c r="I30" s="273"/>
      <c r="J30" s="273"/>
      <c r="K30" s="273"/>
      <c r="L30" s="273"/>
      <c r="M30" s="273"/>
      <c r="N30" s="273"/>
      <c r="O30" s="273"/>
      <c r="P30" s="273"/>
      <c r="Q30" s="273"/>
      <c r="R30" s="273"/>
      <c r="S30" s="273"/>
      <c r="T30" s="273"/>
      <c r="U30" s="273"/>
      <c r="V30" s="273"/>
      <c r="W30" s="273">
        <v>11</v>
      </c>
      <c r="X30" s="273">
        <v>30</v>
      </c>
      <c r="Y30" s="273"/>
      <c r="Z30" s="273"/>
      <c r="AA30" s="273">
        <f ca="1">Ануїтетна_графік_Авто!G31</f>
        <v>47004</v>
      </c>
      <c r="AB30" s="273">
        <f t="shared" si="2"/>
        <v>27</v>
      </c>
      <c r="AC30" s="273"/>
      <c r="AD30" s="273" t="e">
        <f ca="1">Ануїтетна_графік_Авто!J31</f>
        <v>#VALUE!</v>
      </c>
      <c r="AE30" s="273"/>
      <c r="AF30" s="273" t="e">
        <f ca="1">Ануїтетна_графік_Авто!K31</f>
        <v>#VALUE!</v>
      </c>
      <c r="AG30" s="273"/>
      <c r="AH30" s="273" t="e">
        <f ca="1">Ануїтетна_графік_Авто!M31</f>
        <v>#VALUE!</v>
      </c>
      <c r="AI30" s="273"/>
      <c r="AJ30" s="273">
        <f t="shared" ca="1" si="0"/>
        <v>47026</v>
      </c>
      <c r="AK30" s="273">
        <v>27</v>
      </c>
      <c r="AL30" s="273"/>
      <c r="AM30" s="273" t="e">
        <f ca="1">Ануїтетна_графік_Авто!J31</f>
        <v>#VALUE!</v>
      </c>
      <c r="AN30" s="273"/>
      <c r="AO30" s="273" t="e">
        <f ca="1">Ануїтетна_графік_Авто!K31</f>
        <v>#VALUE!</v>
      </c>
      <c r="AP30" s="273"/>
      <c r="AQ30" s="273" t="e">
        <f ca="1">Ануїтетна_графік_Авто!M31</f>
        <v>#VALUE!</v>
      </c>
      <c r="AR30" s="273"/>
      <c r="AS30" s="273" t="e">
        <f t="shared" ca="1" si="1"/>
        <v>#DIV/0!</v>
      </c>
      <c r="AT30" s="273"/>
      <c r="AU30" s="273"/>
      <c r="AV30" s="273"/>
      <c r="AW30" s="273"/>
      <c r="AX30" s="273"/>
      <c r="AY30" s="273"/>
      <c r="AZ30" s="273"/>
      <c r="BA30" s="273"/>
      <c r="BB30" s="273"/>
      <c r="BC30" s="273"/>
      <c r="BD30" s="273"/>
      <c r="BE30" s="273"/>
    </row>
    <row r="31" spans="1:57" x14ac:dyDescent="0.3">
      <c r="A31" s="273"/>
      <c r="B31" s="273">
        <v>7</v>
      </c>
      <c r="C31" s="273"/>
      <c r="D31" s="273">
        <v>17135.539885876191</v>
      </c>
      <c r="E31" s="273"/>
      <c r="F31" s="273">
        <v>6515.460114123809</v>
      </c>
      <c r="G31" s="273"/>
      <c r="H31" s="273">
        <v>23651</v>
      </c>
      <c r="I31" s="273"/>
      <c r="J31" s="273"/>
      <c r="K31" s="273" t="s">
        <v>448</v>
      </c>
      <c r="L31" s="273"/>
      <c r="M31" s="273"/>
      <c r="N31" s="273">
        <f>N15</f>
        <v>0</v>
      </c>
      <c r="O31" s="273"/>
      <c r="P31" s="273"/>
      <c r="Q31" s="273"/>
      <c r="R31" s="273"/>
      <c r="S31" s="273"/>
      <c r="T31" s="273"/>
      <c r="U31" s="273"/>
      <c r="V31" s="273"/>
      <c r="W31" s="273">
        <v>12</v>
      </c>
      <c r="X31" s="273">
        <v>31</v>
      </c>
      <c r="Y31" s="273"/>
      <c r="Z31" s="273"/>
      <c r="AA31" s="273">
        <f ca="1">Ануїтетна_графік_Авто!G32</f>
        <v>47034</v>
      </c>
      <c r="AB31" s="273">
        <f t="shared" si="2"/>
        <v>28</v>
      </c>
      <c r="AC31" s="273"/>
      <c r="AD31" s="273" t="e">
        <f ca="1">Ануїтетна_графік_Авто!J32</f>
        <v>#VALUE!</v>
      </c>
      <c r="AE31" s="273"/>
      <c r="AF31" s="273" t="e">
        <f ca="1">Ануїтетна_графік_Авто!K32</f>
        <v>#VALUE!</v>
      </c>
      <c r="AG31" s="273"/>
      <c r="AH31" s="273" t="e">
        <f ca="1">Ануїтетна_графік_Авто!M32</f>
        <v>#VALUE!</v>
      </c>
      <c r="AI31" s="273"/>
      <c r="AJ31" s="273">
        <f t="shared" ca="1" si="0"/>
        <v>47057</v>
      </c>
      <c r="AK31" s="273">
        <v>28</v>
      </c>
      <c r="AL31" s="273"/>
      <c r="AM31" s="273" t="e">
        <f ca="1">Ануїтетна_графік_Авто!J32</f>
        <v>#VALUE!</v>
      </c>
      <c r="AN31" s="273"/>
      <c r="AO31" s="273" t="e">
        <f ca="1">Ануїтетна_графік_Авто!K32</f>
        <v>#VALUE!</v>
      </c>
      <c r="AP31" s="273"/>
      <c r="AQ31" s="273" t="e">
        <f ca="1">Ануїтетна_графік_Авто!M32</f>
        <v>#VALUE!</v>
      </c>
      <c r="AR31" s="273"/>
      <c r="AS31" s="273" t="e">
        <f t="shared" ca="1" si="1"/>
        <v>#DIV/0!</v>
      </c>
      <c r="AT31" s="273"/>
      <c r="AU31" s="273"/>
      <c r="AV31" s="273"/>
      <c r="AW31" s="273"/>
      <c r="AX31" s="273"/>
      <c r="AY31" s="273"/>
      <c r="AZ31" s="273"/>
      <c r="BA31" s="273"/>
      <c r="BB31" s="273"/>
      <c r="BC31" s="273"/>
      <c r="BD31" s="273"/>
      <c r="BE31" s="273"/>
    </row>
    <row r="32" spans="1:57" x14ac:dyDescent="0.3">
      <c r="A32" s="273"/>
      <c r="B32" s="273">
        <v>8</v>
      </c>
      <c r="C32" s="273"/>
      <c r="D32" s="273">
        <v>17110.033175312161</v>
      </c>
      <c r="E32" s="273"/>
      <c r="F32" s="273">
        <v>6540.9668246878382</v>
      </c>
      <c r="G32" s="273"/>
      <c r="H32" s="273">
        <v>23651</v>
      </c>
      <c r="I32" s="273"/>
      <c r="J32" s="273"/>
      <c r="K32" s="273"/>
      <c r="L32" s="273"/>
      <c r="M32" s="273"/>
      <c r="N32" s="273"/>
      <c r="O32" s="273"/>
      <c r="P32" s="273" t="s">
        <v>446</v>
      </c>
      <c r="Q32" s="273"/>
      <c r="R32" s="273"/>
      <c r="S32" s="273"/>
      <c r="T32" s="273"/>
      <c r="U32" s="273"/>
      <c r="V32" s="273"/>
      <c r="W32" s="273"/>
      <c r="X32" s="273"/>
      <c r="Y32" s="273"/>
      <c r="Z32" s="273"/>
      <c r="AA32" s="273">
        <f ca="1">Ануїтетна_графік_Авто!G33</f>
        <v>47065</v>
      </c>
      <c r="AB32" s="273">
        <f t="shared" si="2"/>
        <v>29</v>
      </c>
      <c r="AC32" s="273"/>
      <c r="AD32" s="273" t="e">
        <f ca="1">Ануїтетна_графік_Авто!J33</f>
        <v>#VALUE!</v>
      </c>
      <c r="AE32" s="273"/>
      <c r="AF32" s="273" t="e">
        <f ca="1">Ануїтетна_графік_Авто!K33</f>
        <v>#VALUE!</v>
      </c>
      <c r="AG32" s="273"/>
      <c r="AH32" s="273" t="e">
        <f ca="1">Ануїтетна_графік_Авто!M33</f>
        <v>#VALUE!</v>
      </c>
      <c r="AI32" s="273"/>
      <c r="AJ32" s="273">
        <f t="shared" ca="1" si="0"/>
        <v>47087</v>
      </c>
      <c r="AK32" s="273">
        <v>29</v>
      </c>
      <c r="AL32" s="273"/>
      <c r="AM32" s="273" t="e">
        <f ca="1">Ануїтетна_графік_Авто!J33</f>
        <v>#VALUE!</v>
      </c>
      <c r="AN32" s="273"/>
      <c r="AO32" s="273" t="e">
        <f ca="1">Ануїтетна_графік_Авто!K33</f>
        <v>#VALUE!</v>
      </c>
      <c r="AP32" s="273"/>
      <c r="AQ32" s="273" t="e">
        <f ca="1">Ануїтетна_графік_Авто!M33</f>
        <v>#VALUE!</v>
      </c>
      <c r="AR32" s="273"/>
      <c r="AS32" s="273" t="e">
        <f t="shared" ca="1" si="1"/>
        <v>#DIV/0!</v>
      </c>
      <c r="AT32" s="273"/>
      <c r="AU32" s="273"/>
      <c r="AV32" s="273"/>
      <c r="AW32" s="273"/>
      <c r="AX32" s="273"/>
      <c r="AY32" s="273"/>
      <c r="AZ32" s="273"/>
      <c r="BA32" s="273"/>
      <c r="BB32" s="273"/>
      <c r="BC32" s="273"/>
      <c r="BD32" s="273"/>
      <c r="BE32" s="273"/>
    </row>
    <row r="33" spans="1:57" x14ac:dyDescent="0.3">
      <c r="A33" s="273"/>
      <c r="B33" s="273">
        <v>9</v>
      </c>
      <c r="C33" s="273"/>
      <c r="D33" s="273">
        <v>17301.423154739008</v>
      </c>
      <c r="E33" s="273"/>
      <c r="F33" s="273">
        <v>6349.5768452609918</v>
      </c>
      <c r="G33" s="273"/>
      <c r="H33" s="273">
        <v>23651</v>
      </c>
      <c r="I33" s="273"/>
      <c r="J33" s="273"/>
      <c r="K33" s="273"/>
      <c r="L33" s="273"/>
      <c r="M33" s="273"/>
      <c r="N33" s="273"/>
      <c r="O33" s="273"/>
      <c r="P33" s="273" t="s">
        <v>447</v>
      </c>
      <c r="Q33" s="273"/>
      <c r="R33" s="273"/>
      <c r="S33" s="273"/>
      <c r="T33" s="273"/>
      <c r="U33" s="273"/>
      <c r="V33" s="273"/>
      <c r="W33" s="273"/>
      <c r="X33" s="273"/>
      <c r="Y33" s="273"/>
      <c r="Z33" s="273"/>
      <c r="AA33" s="273">
        <f ca="1">Ануїтетна_графік_Авто!G34</f>
        <v>47095</v>
      </c>
      <c r="AB33" s="273">
        <f t="shared" si="2"/>
        <v>30</v>
      </c>
      <c r="AC33" s="273"/>
      <c r="AD33" s="273" t="e">
        <f ca="1">Ануїтетна_графік_Авто!J34</f>
        <v>#VALUE!</v>
      </c>
      <c r="AE33" s="273"/>
      <c r="AF33" s="273" t="e">
        <f ca="1">Ануїтетна_графік_Авто!K34</f>
        <v>#VALUE!</v>
      </c>
      <c r="AG33" s="273"/>
      <c r="AH33" s="273" t="e">
        <f ca="1">Ануїтетна_графік_Авто!M34</f>
        <v>#VALUE!</v>
      </c>
      <c r="AI33" s="273"/>
      <c r="AJ33" s="273">
        <f t="shared" ca="1" si="0"/>
        <v>47118</v>
      </c>
      <c r="AK33" s="273">
        <v>30</v>
      </c>
      <c r="AL33" s="273"/>
      <c r="AM33" s="273" t="e">
        <f ca="1">Ануїтетна_графік_Авто!J34</f>
        <v>#VALUE!</v>
      </c>
      <c r="AN33" s="273"/>
      <c r="AO33" s="273" t="e">
        <f ca="1">Ануїтетна_графік_Авто!K34</f>
        <v>#VALUE!</v>
      </c>
      <c r="AP33" s="273"/>
      <c r="AQ33" s="273" t="e">
        <f ca="1">Ануїтетна_графік_Авто!M34</f>
        <v>#VALUE!</v>
      </c>
      <c r="AR33" s="273"/>
      <c r="AS33" s="273" t="e">
        <f t="shared" ca="1" si="1"/>
        <v>#DIV/0!</v>
      </c>
      <c r="AT33" s="273"/>
      <c r="AU33" s="273"/>
      <c r="AV33" s="273"/>
      <c r="AW33" s="273"/>
      <c r="AX33" s="273"/>
      <c r="AY33" s="273"/>
      <c r="AZ33" s="273"/>
      <c r="BA33" s="273"/>
      <c r="BB33" s="273"/>
      <c r="BC33" s="273"/>
      <c r="BD33" s="273"/>
      <c r="BE33" s="273"/>
    </row>
    <row r="34" spans="1:57" x14ac:dyDescent="0.3">
      <c r="A34" s="273"/>
      <c r="B34" s="273">
        <v>10</v>
      </c>
      <c r="C34" s="273"/>
      <c r="D34" s="273">
        <v>18090.700378586032</v>
      </c>
      <c r="E34" s="273"/>
      <c r="F34" s="273">
        <v>5560.2996214139675</v>
      </c>
      <c r="G34" s="273"/>
      <c r="H34" s="273">
        <v>23651</v>
      </c>
      <c r="I34" s="273"/>
      <c r="J34" s="273"/>
      <c r="K34" s="273" t="s">
        <v>449</v>
      </c>
      <c r="L34" s="273"/>
      <c r="M34" s="273"/>
      <c r="N34" s="273" t="e">
        <f>IF(N12=0,0,IF(G13="Ні",N12,IF(G13="Так","НВ включено у суму кредиту",0)))</f>
        <v>#DIV/0!</v>
      </c>
      <c r="O34" s="273"/>
      <c r="P34" s="273"/>
      <c r="Q34" s="273"/>
      <c r="R34" s="273"/>
      <c r="S34" s="273"/>
      <c r="T34" s="273"/>
      <c r="U34" s="273"/>
      <c r="V34" s="273"/>
      <c r="W34" s="273"/>
      <c r="X34" s="273"/>
      <c r="Y34" s="273"/>
      <c r="Z34" s="273"/>
      <c r="AA34" s="273">
        <f ca="1">Ануїтетна_графік_Авто!G35</f>
        <v>47126</v>
      </c>
      <c r="AB34" s="273">
        <f t="shared" si="2"/>
        <v>31</v>
      </c>
      <c r="AC34" s="273"/>
      <c r="AD34" s="273" t="e">
        <f ca="1">Ануїтетна_графік_Авто!J35</f>
        <v>#VALUE!</v>
      </c>
      <c r="AE34" s="273"/>
      <c r="AF34" s="273" t="e">
        <f ca="1">Ануїтетна_графік_Авто!K35</f>
        <v>#VALUE!</v>
      </c>
      <c r="AG34" s="273"/>
      <c r="AH34" s="273" t="e">
        <f ca="1">Ануїтетна_графік_Авто!M35</f>
        <v>#VALUE!</v>
      </c>
      <c r="AI34" s="273"/>
      <c r="AJ34" s="273">
        <f t="shared" ca="1" si="0"/>
        <v>47149</v>
      </c>
      <c r="AK34" s="273">
        <v>31</v>
      </c>
      <c r="AL34" s="273"/>
      <c r="AM34" s="273" t="e">
        <f ca="1">Ануїтетна_графік_Авто!J35</f>
        <v>#VALUE!</v>
      </c>
      <c r="AN34" s="273"/>
      <c r="AO34" s="273" t="e">
        <f ca="1">Ануїтетна_графік_Авто!K35</f>
        <v>#VALUE!</v>
      </c>
      <c r="AP34" s="273"/>
      <c r="AQ34" s="273" t="e">
        <f ca="1">Ануїтетна_графік_Авто!M35</f>
        <v>#VALUE!</v>
      </c>
      <c r="AR34" s="273"/>
      <c r="AS34" s="273" t="e">
        <f t="shared" ca="1" si="1"/>
        <v>#DIV/0!</v>
      </c>
      <c r="AT34" s="273"/>
      <c r="AU34" s="273"/>
      <c r="AV34" s="273"/>
      <c r="AW34" s="273"/>
      <c r="AX34" s="273"/>
      <c r="AY34" s="273"/>
      <c r="AZ34" s="273"/>
      <c r="BA34" s="273"/>
      <c r="BB34" s="273"/>
      <c r="BC34" s="273"/>
      <c r="BD34" s="273"/>
      <c r="BE34" s="273"/>
    </row>
    <row r="35" spans="1:57" x14ac:dyDescent="0.3">
      <c r="A35" s="273"/>
      <c r="B35" s="273">
        <v>11</v>
      </c>
      <c r="C35" s="273"/>
      <c r="D35" s="273">
        <v>17697.313549895527</v>
      </c>
      <c r="E35" s="273"/>
      <c r="F35" s="273">
        <v>5953.6864501044738</v>
      </c>
      <c r="G35" s="273"/>
      <c r="H35" s="273">
        <v>23651</v>
      </c>
      <c r="I35" s="273"/>
      <c r="J35" s="273"/>
      <c r="K35" s="273"/>
      <c r="L35" s="273"/>
      <c r="M35" s="273"/>
      <c r="N35" s="273"/>
      <c r="O35" s="273"/>
      <c r="P35" s="273"/>
      <c r="Q35" s="273"/>
      <c r="R35" s="273"/>
      <c r="S35" s="273"/>
      <c r="T35" s="273"/>
      <c r="U35" s="273"/>
      <c r="V35" s="273"/>
      <c r="W35" s="273"/>
      <c r="X35" s="273"/>
      <c r="Y35" s="273"/>
      <c r="Z35" s="273"/>
      <c r="AA35" s="273">
        <f ca="1">Ануїтетна_графік_Авто!G36</f>
        <v>47157</v>
      </c>
      <c r="AB35" s="273">
        <f t="shared" si="2"/>
        <v>32</v>
      </c>
      <c r="AC35" s="273"/>
      <c r="AD35" s="273" t="e">
        <f ca="1">Ануїтетна_графік_Авто!J36</f>
        <v>#VALUE!</v>
      </c>
      <c r="AE35" s="273"/>
      <c r="AF35" s="273" t="e">
        <f ca="1">Ануїтетна_графік_Авто!K36</f>
        <v>#VALUE!</v>
      </c>
      <c r="AG35" s="273"/>
      <c r="AH35" s="273" t="e">
        <f ca="1">Ануїтетна_графік_Авто!M36</f>
        <v>#VALUE!</v>
      </c>
      <c r="AI35" s="273"/>
      <c r="AJ35" s="273">
        <f t="shared" ca="1" si="0"/>
        <v>47177</v>
      </c>
      <c r="AK35" s="273">
        <v>32</v>
      </c>
      <c r="AL35" s="273"/>
      <c r="AM35" s="273" t="e">
        <f ca="1">Ануїтетна_графік_Авто!J36</f>
        <v>#VALUE!</v>
      </c>
      <c r="AN35" s="273"/>
      <c r="AO35" s="273" t="e">
        <f ca="1">Ануїтетна_графік_Авто!K36</f>
        <v>#VALUE!</v>
      </c>
      <c r="AP35" s="273"/>
      <c r="AQ35" s="273" t="e">
        <f ca="1">Ануїтетна_графік_Авто!M36</f>
        <v>#VALUE!</v>
      </c>
      <c r="AR35" s="273"/>
      <c r="AS35" s="273" t="e">
        <f t="shared" ca="1" si="1"/>
        <v>#DIV/0!</v>
      </c>
      <c r="AT35" s="273"/>
      <c r="AU35" s="273"/>
      <c r="AV35" s="273"/>
      <c r="AW35" s="273"/>
      <c r="AX35" s="273"/>
      <c r="AY35" s="273"/>
      <c r="AZ35" s="273"/>
      <c r="BA35" s="273"/>
      <c r="BB35" s="273"/>
      <c r="BC35" s="273"/>
      <c r="BD35" s="273"/>
      <c r="BE35" s="273"/>
    </row>
    <row r="36" spans="1:57" x14ac:dyDescent="0.3">
      <c r="A36" s="273"/>
      <c r="B36" s="273">
        <v>12</v>
      </c>
      <c r="C36" s="273"/>
      <c r="D36" s="273">
        <v>18080.941370689419</v>
      </c>
      <c r="E36" s="273"/>
      <c r="F36" s="273">
        <v>5570.0586293105807</v>
      </c>
      <c r="G36" s="273"/>
      <c r="H36" s="273">
        <v>23651</v>
      </c>
      <c r="I36" s="273"/>
      <c r="J36" s="273"/>
      <c r="K36" s="273"/>
      <c r="L36" s="273"/>
      <c r="M36" s="273"/>
      <c r="N36" s="273"/>
      <c r="O36" s="273"/>
      <c r="P36" s="273"/>
      <c r="Q36" s="273"/>
      <c r="R36" s="273"/>
      <c r="S36" s="273"/>
      <c r="T36" s="273"/>
      <c r="U36" s="273"/>
      <c r="V36" s="273"/>
      <c r="W36" s="273"/>
      <c r="X36" s="273"/>
      <c r="Y36" s="273"/>
      <c r="Z36" s="273"/>
      <c r="AA36" s="273">
        <f ca="1">Ануїтетна_графік_Авто!G37</f>
        <v>47185</v>
      </c>
      <c r="AB36" s="273">
        <f t="shared" si="2"/>
        <v>33</v>
      </c>
      <c r="AC36" s="273"/>
      <c r="AD36" s="273" t="e">
        <f ca="1">Ануїтетна_графік_Авто!J37</f>
        <v>#VALUE!</v>
      </c>
      <c r="AE36" s="273"/>
      <c r="AF36" s="273" t="e">
        <f ca="1">Ануїтетна_графік_Авто!K37</f>
        <v>#VALUE!</v>
      </c>
      <c r="AG36" s="273"/>
      <c r="AH36" s="273" t="e">
        <f ca="1">Ануїтетна_графік_Авто!M37</f>
        <v>#VALUE!</v>
      </c>
      <c r="AI36" s="273"/>
      <c r="AJ36" s="273">
        <f t="shared" ca="1" si="0"/>
        <v>47208</v>
      </c>
      <c r="AK36" s="273">
        <v>33</v>
      </c>
      <c r="AL36" s="273"/>
      <c r="AM36" s="273" t="e">
        <f ca="1">Ануїтетна_графік_Авто!J37</f>
        <v>#VALUE!</v>
      </c>
      <c r="AN36" s="273"/>
      <c r="AO36" s="273" t="e">
        <f ca="1">Ануїтетна_графік_Авто!K37</f>
        <v>#VALUE!</v>
      </c>
      <c r="AP36" s="273"/>
      <c r="AQ36" s="273" t="e">
        <f ca="1">Ануїтетна_графік_Авто!M37</f>
        <v>#VALUE!</v>
      </c>
      <c r="AR36" s="273"/>
      <c r="AS36" s="273" t="e">
        <f t="shared" ca="1" si="1"/>
        <v>#DIV/0!</v>
      </c>
      <c r="AT36" s="273"/>
      <c r="AU36" s="273"/>
      <c r="AV36" s="273"/>
      <c r="AW36" s="273"/>
      <c r="AX36" s="273"/>
      <c r="AY36" s="273"/>
      <c r="AZ36" s="273"/>
      <c r="BA36" s="273"/>
      <c r="BB36" s="273"/>
      <c r="BC36" s="273"/>
      <c r="BD36" s="273"/>
      <c r="BE36" s="273"/>
    </row>
    <row r="37" spans="1:57" x14ac:dyDescent="0.3">
      <c r="A37" s="273"/>
      <c r="B37" s="273">
        <v>13</v>
      </c>
      <c r="C37" s="273"/>
      <c r="D37" s="273">
        <v>18097.523146394706</v>
      </c>
      <c r="E37" s="273"/>
      <c r="F37" s="273">
        <v>5553.4768536052961</v>
      </c>
      <c r="G37" s="273"/>
      <c r="H37" s="273">
        <v>23651</v>
      </c>
      <c r="I37" s="273"/>
      <c r="J37" s="273"/>
      <c r="K37" s="273" t="s">
        <v>450</v>
      </c>
      <c r="L37" s="273"/>
      <c r="M37" s="273"/>
      <c r="N37" s="273">
        <v>0</v>
      </c>
      <c r="O37" s="273"/>
      <c r="P37" s="273"/>
      <c r="Q37" s="273"/>
      <c r="R37" s="273"/>
      <c r="S37" s="273"/>
      <c r="T37" s="273"/>
      <c r="U37" s="273"/>
      <c r="V37" s="273"/>
      <c r="W37" s="273"/>
      <c r="X37" s="273"/>
      <c r="Y37" s="273"/>
      <c r="Z37" s="273"/>
      <c r="AA37" s="273">
        <f ca="1">Ануїтетна_графік_Авто!G38</f>
        <v>47216</v>
      </c>
      <c r="AB37" s="273">
        <f t="shared" si="2"/>
        <v>34</v>
      </c>
      <c r="AC37" s="273"/>
      <c r="AD37" s="273" t="e">
        <f ca="1">Ануїтетна_графік_Авто!J38</f>
        <v>#VALUE!</v>
      </c>
      <c r="AE37" s="273"/>
      <c r="AF37" s="273" t="e">
        <f ca="1">Ануїтетна_графік_Авто!K38</f>
        <v>#VALUE!</v>
      </c>
      <c r="AG37" s="273"/>
      <c r="AH37" s="273" t="e">
        <f ca="1">Ануїтетна_графік_Авто!M38</f>
        <v>#VALUE!</v>
      </c>
      <c r="AI37" s="273"/>
      <c r="AJ37" s="273">
        <f t="shared" ca="1" si="0"/>
        <v>47238</v>
      </c>
      <c r="AK37" s="273">
        <v>34</v>
      </c>
      <c r="AL37" s="273"/>
      <c r="AM37" s="273" t="e">
        <f ca="1">Ануїтетна_графік_Авто!J38</f>
        <v>#VALUE!</v>
      </c>
      <c r="AN37" s="273"/>
      <c r="AO37" s="273" t="e">
        <f ca="1">Ануїтетна_графік_Авто!K38</f>
        <v>#VALUE!</v>
      </c>
      <c r="AP37" s="273"/>
      <c r="AQ37" s="273" t="e">
        <f ca="1">Ануїтетна_графік_Авто!M38</f>
        <v>#VALUE!</v>
      </c>
      <c r="AR37" s="273"/>
      <c r="AS37" s="273" t="e">
        <f t="shared" ca="1" si="1"/>
        <v>#DIV/0!</v>
      </c>
      <c r="AT37" s="273"/>
      <c r="AU37" s="273"/>
      <c r="AV37" s="273"/>
      <c r="AW37" s="273"/>
      <c r="AX37" s="273"/>
      <c r="AY37" s="273"/>
      <c r="AZ37" s="273"/>
      <c r="BA37" s="273"/>
      <c r="BB37" s="273"/>
      <c r="BC37" s="273"/>
      <c r="BD37" s="273"/>
      <c r="BE37" s="273"/>
    </row>
    <row r="38" spans="1:57" x14ac:dyDescent="0.3">
      <c r="A38" s="273"/>
      <c r="B38" s="273">
        <v>14</v>
      </c>
      <c r="C38" s="273"/>
      <c r="D38" s="273">
        <v>18472.573249086854</v>
      </c>
      <c r="E38" s="273"/>
      <c r="F38" s="273">
        <v>5178.426750913145</v>
      </c>
      <c r="G38" s="273"/>
      <c r="H38" s="273">
        <v>23651</v>
      </c>
      <c r="I38" s="273"/>
      <c r="J38" s="273"/>
      <c r="K38" s="273"/>
      <c r="L38" s="273"/>
      <c r="M38" s="273"/>
      <c r="N38" s="273"/>
      <c r="O38" s="273"/>
      <c r="P38" s="273"/>
      <c r="Q38" s="273"/>
      <c r="R38" s="273"/>
      <c r="S38" s="273"/>
      <c r="T38" s="273"/>
      <c r="U38" s="273"/>
      <c r="V38" s="273"/>
      <c r="W38" s="273"/>
      <c r="X38" s="273"/>
      <c r="Y38" s="273"/>
      <c r="Z38" s="273"/>
      <c r="AA38" s="273">
        <f ca="1">Ануїтетна_графік_Авто!G39</f>
        <v>47246</v>
      </c>
      <c r="AB38" s="273">
        <f t="shared" si="2"/>
        <v>35</v>
      </c>
      <c r="AC38" s="273"/>
      <c r="AD38" s="273" t="e">
        <f ca="1">Ануїтетна_графік_Авто!J39</f>
        <v>#VALUE!</v>
      </c>
      <c r="AE38" s="273"/>
      <c r="AF38" s="273" t="e">
        <f ca="1">Ануїтетна_графік_Авто!K39</f>
        <v>#VALUE!</v>
      </c>
      <c r="AG38" s="273"/>
      <c r="AH38" s="273" t="e">
        <f ca="1">Ануїтетна_графік_Авто!M39</f>
        <v>#VALUE!</v>
      </c>
      <c r="AI38" s="273"/>
      <c r="AJ38" s="273">
        <f t="shared" ca="1" si="0"/>
        <v>47269</v>
      </c>
      <c r="AK38" s="273">
        <v>35</v>
      </c>
      <c r="AL38" s="273"/>
      <c r="AM38" s="273" t="e">
        <f ca="1">Ануїтетна_графік_Авто!J39</f>
        <v>#VALUE!</v>
      </c>
      <c r="AN38" s="273"/>
      <c r="AO38" s="273" t="e">
        <f ca="1">Ануїтетна_графік_Авто!K39</f>
        <v>#VALUE!</v>
      </c>
      <c r="AP38" s="273"/>
      <c r="AQ38" s="273" t="e">
        <f ca="1">Ануїтетна_графік_Авто!M39</f>
        <v>#VALUE!</v>
      </c>
      <c r="AR38" s="273"/>
      <c r="AS38" s="273" t="e">
        <f t="shared" ca="1" si="1"/>
        <v>#DIV/0!</v>
      </c>
      <c r="AT38" s="273"/>
      <c r="AU38" s="273"/>
      <c r="AV38" s="273"/>
      <c r="AW38" s="273"/>
      <c r="AX38" s="273"/>
      <c r="AY38" s="273"/>
      <c r="AZ38" s="273"/>
      <c r="BA38" s="273"/>
      <c r="BB38" s="273"/>
      <c r="BC38" s="273"/>
      <c r="BD38" s="273"/>
      <c r="BE38" s="273"/>
    </row>
    <row r="39" spans="1:57" x14ac:dyDescent="0.3">
      <c r="A39" s="273"/>
      <c r="B39" s="273">
        <v>15</v>
      </c>
      <c r="C39" s="273"/>
      <c r="D39" s="273">
        <v>18506.590149658492</v>
      </c>
      <c r="E39" s="273"/>
      <c r="F39" s="273">
        <v>5144.4098503415062</v>
      </c>
      <c r="G39" s="273"/>
      <c r="H39" s="273">
        <v>23651</v>
      </c>
      <c r="I39" s="273"/>
      <c r="J39" s="273"/>
      <c r="K39" s="273"/>
      <c r="L39" s="273"/>
      <c r="M39" s="273"/>
      <c r="N39" s="273"/>
      <c r="O39" s="273"/>
      <c r="P39" s="273"/>
      <c r="Q39" s="273"/>
      <c r="R39" s="273"/>
      <c r="S39" s="273" t="s">
        <v>407</v>
      </c>
      <c r="T39" s="273">
        <f>G4/6*5</f>
        <v>0</v>
      </c>
      <c r="U39" s="273"/>
      <c r="V39" s="273"/>
      <c r="W39" s="273"/>
      <c r="X39" s="273"/>
      <c r="Y39" s="273"/>
      <c r="Z39" s="273"/>
      <c r="AA39" s="273">
        <f ca="1">Ануїтетна_графік_Авто!G40</f>
        <v>47277</v>
      </c>
      <c r="AB39" s="273">
        <f t="shared" si="2"/>
        <v>36</v>
      </c>
      <c r="AC39" s="273"/>
      <c r="AD39" s="273" t="e">
        <f ca="1">Ануїтетна_графік_Авто!J40</f>
        <v>#VALUE!</v>
      </c>
      <c r="AE39" s="273"/>
      <c r="AF39" s="273" t="e">
        <f ca="1">Ануїтетна_графік_Авто!K40</f>
        <v>#VALUE!</v>
      </c>
      <c r="AG39" s="273"/>
      <c r="AH39" s="273" t="e">
        <f ca="1">Ануїтетна_графік_Авто!M40</f>
        <v>#VALUE!</v>
      </c>
      <c r="AI39" s="273"/>
      <c r="AJ39" s="273">
        <f t="shared" ca="1" si="0"/>
        <v>47299</v>
      </c>
      <c r="AK39" s="273">
        <v>36</v>
      </c>
      <c r="AL39" s="273"/>
      <c r="AM39" s="273" t="e">
        <f ca="1">Ануїтетна_графік_Авто!J40</f>
        <v>#VALUE!</v>
      </c>
      <c r="AN39" s="273"/>
      <c r="AO39" s="273" t="e">
        <f ca="1">Ануїтетна_графік_Авто!K40</f>
        <v>#VALUE!</v>
      </c>
      <c r="AP39" s="273"/>
      <c r="AQ39" s="273" t="e">
        <f ca="1">Ануїтетна_графік_Авто!M40</f>
        <v>#VALUE!</v>
      </c>
      <c r="AR39" s="273"/>
      <c r="AS39" s="273" t="e">
        <f t="shared" ca="1" si="1"/>
        <v>#DIV/0!</v>
      </c>
      <c r="AT39" s="273"/>
      <c r="AU39" s="273"/>
      <c r="AV39" s="273"/>
      <c r="AW39" s="273"/>
      <c r="AX39" s="273"/>
      <c r="AY39" s="273"/>
      <c r="AZ39" s="273"/>
      <c r="BA39" s="273"/>
      <c r="BB39" s="273"/>
      <c r="BC39" s="273"/>
      <c r="BD39" s="273"/>
      <c r="BE39" s="273"/>
    </row>
    <row r="40" spans="1:57" x14ac:dyDescent="0.3">
      <c r="A40" s="273"/>
      <c r="B40" s="273">
        <v>16</v>
      </c>
      <c r="C40" s="273"/>
      <c r="D40" s="273">
        <v>18713.601782640882</v>
      </c>
      <c r="E40" s="273"/>
      <c r="F40" s="273">
        <v>4937.3982173591176</v>
      </c>
      <c r="G40" s="273"/>
      <c r="H40" s="273">
        <v>23651</v>
      </c>
      <c r="I40" s="273"/>
      <c r="J40" s="273"/>
      <c r="K40" s="273" t="s">
        <v>451</v>
      </c>
      <c r="L40" s="273"/>
      <c r="M40" s="273"/>
      <c r="N40" s="273"/>
      <c r="O40" s="273">
        <f>SUM(O42:O47)</f>
        <v>0</v>
      </c>
      <c r="P40" s="273" t="str">
        <f>CONCATENATE(P42,P43,P44,P45,P46)</f>
        <v/>
      </c>
      <c r="Q40" s="273">
        <f>SUM(Q42:Q47)</f>
        <v>0</v>
      </c>
      <c r="R40" s="273"/>
      <c r="S40" s="273"/>
      <c r="T40" s="273"/>
      <c r="U40" s="273"/>
      <c r="V40" s="273"/>
      <c r="W40" s="273"/>
      <c r="X40" s="273"/>
      <c r="Y40" s="273"/>
      <c r="Z40" s="273">
        <f>SUM(Z42:Z46)</f>
        <v>0</v>
      </c>
      <c r="AA40" s="273">
        <f ca="1">Ануїтетна_графік_Авто!G41</f>
        <v>47307</v>
      </c>
      <c r="AB40" s="273">
        <f t="shared" si="2"/>
        <v>37</v>
      </c>
      <c r="AC40" s="273"/>
      <c r="AD40" s="273" t="e">
        <f ca="1">Ануїтетна_графік_Авто!J41</f>
        <v>#VALUE!</v>
      </c>
      <c r="AE40" s="273"/>
      <c r="AF40" s="273" t="e">
        <f ca="1">Ануїтетна_графік_Авто!K41</f>
        <v>#VALUE!</v>
      </c>
      <c r="AG40" s="273"/>
      <c r="AH40" s="273" t="e">
        <f ca="1">Ануїтетна_графік_Авто!M41</f>
        <v>#VALUE!</v>
      </c>
      <c r="AI40" s="273"/>
      <c r="AJ40" s="273">
        <f t="shared" ca="1" si="0"/>
        <v>47330</v>
      </c>
      <c r="AK40" s="273">
        <v>37</v>
      </c>
      <c r="AL40" s="273"/>
      <c r="AM40" s="273" t="e">
        <f ca="1">Ануїтетна_графік_Авто!J41</f>
        <v>#VALUE!</v>
      </c>
      <c r="AN40" s="273"/>
      <c r="AO40" s="273" t="e">
        <f ca="1">Ануїтетна_графік_Авто!K41</f>
        <v>#VALUE!</v>
      </c>
      <c r="AP40" s="273"/>
      <c r="AQ40" s="273" t="e">
        <f ca="1">Ануїтетна_графік_Авто!M41</f>
        <v>#VALUE!</v>
      </c>
      <c r="AR40" s="273"/>
      <c r="AS40" s="273" t="e">
        <f t="shared" ca="1" si="1"/>
        <v>#DIV/0!</v>
      </c>
      <c r="AT40" s="273"/>
      <c r="AU40" s="273"/>
      <c r="AV40" s="273"/>
      <c r="AW40" s="273"/>
      <c r="AX40" s="273"/>
      <c r="AY40" s="273"/>
      <c r="AZ40" s="273"/>
      <c r="BA40" s="273"/>
      <c r="BB40" s="273"/>
      <c r="BC40" s="273"/>
      <c r="BD40" s="273"/>
      <c r="BE40" s="273"/>
    </row>
    <row r="41" spans="1:57" x14ac:dyDescent="0.3">
      <c r="A41" s="273"/>
      <c r="B41" s="273">
        <v>17</v>
      </c>
      <c r="C41" s="273"/>
      <c r="D41" s="273">
        <v>19075.447432175359</v>
      </c>
      <c r="E41" s="273"/>
      <c r="F41" s="273">
        <v>4575.5525678246395</v>
      </c>
      <c r="G41" s="273"/>
      <c r="H41" s="273">
        <v>23651</v>
      </c>
      <c r="I41" s="273"/>
      <c r="J41" s="273"/>
      <c r="K41" s="273"/>
      <c r="L41" s="273"/>
      <c r="M41" s="273"/>
      <c r="N41" s="273"/>
      <c r="O41" s="273" t="s">
        <v>501</v>
      </c>
      <c r="P41" s="273" t="s">
        <v>455</v>
      </c>
      <c r="Q41" s="273" t="s">
        <v>476</v>
      </c>
      <c r="R41" s="273" t="s">
        <v>477</v>
      </c>
      <c r="S41" s="273">
        <v>12</v>
      </c>
      <c r="T41" s="273">
        <v>60</v>
      </c>
      <c r="U41" s="273">
        <v>84</v>
      </c>
      <c r="V41" s="273">
        <v>12</v>
      </c>
      <c r="W41" s="273">
        <v>60</v>
      </c>
      <c r="X41" s="273">
        <v>84</v>
      </c>
      <c r="Y41" s="273"/>
      <c r="Z41" s="273" t="s">
        <v>478</v>
      </c>
      <c r="AA41" s="273">
        <f ca="1">Ануїтетна_графік_Авто!G42</f>
        <v>47338</v>
      </c>
      <c r="AB41" s="273">
        <f t="shared" si="2"/>
        <v>38</v>
      </c>
      <c r="AC41" s="273"/>
      <c r="AD41" s="273" t="e">
        <f ca="1">Ануїтетна_графік_Авто!J42</f>
        <v>#VALUE!</v>
      </c>
      <c r="AE41" s="273"/>
      <c r="AF41" s="273" t="e">
        <f ca="1">Ануїтетна_графік_Авто!K42</f>
        <v>#VALUE!</v>
      </c>
      <c r="AG41" s="273"/>
      <c r="AH41" s="273" t="e">
        <f ca="1">Ануїтетна_графік_Авто!M42</f>
        <v>#VALUE!</v>
      </c>
      <c r="AI41" s="273"/>
      <c r="AJ41" s="273">
        <f t="shared" ca="1" si="0"/>
        <v>47361</v>
      </c>
      <c r="AK41" s="273">
        <v>38</v>
      </c>
      <c r="AL41" s="273"/>
      <c r="AM41" s="273" t="e">
        <f ca="1">Ануїтетна_графік_Авто!J42</f>
        <v>#VALUE!</v>
      </c>
      <c r="AN41" s="273"/>
      <c r="AO41" s="273" t="e">
        <f ca="1">Ануїтетна_графік_Авто!K42</f>
        <v>#VALUE!</v>
      </c>
      <c r="AP41" s="273"/>
      <c r="AQ41" s="273" t="e">
        <f ca="1">Ануїтетна_графік_Авто!M42</f>
        <v>#VALUE!</v>
      </c>
      <c r="AR41" s="273"/>
      <c r="AS41" s="273" t="e">
        <f t="shared" ca="1" si="1"/>
        <v>#DIV/0!</v>
      </c>
      <c r="AT41" s="273"/>
      <c r="AU41" s="273"/>
      <c r="AV41" s="273"/>
      <c r="AW41" s="273"/>
      <c r="AX41" s="273"/>
      <c r="AY41" s="273"/>
      <c r="AZ41" s="273"/>
      <c r="BA41" s="273"/>
      <c r="BB41" s="273"/>
      <c r="BC41" s="273"/>
      <c r="BD41" s="273"/>
      <c r="BE41" s="273"/>
    </row>
    <row r="42" spans="1:57" x14ac:dyDescent="0.3">
      <c r="A42" s="273"/>
      <c r="B42" s="273">
        <v>18</v>
      </c>
      <c r="C42" s="273"/>
      <c r="D42" s="273">
        <v>19136.303788982947</v>
      </c>
      <c r="E42" s="273"/>
      <c r="F42" s="273">
        <v>4514.6962110170525</v>
      </c>
      <c r="G42" s="273"/>
      <c r="H42" s="273">
        <v>23651</v>
      </c>
      <c r="I42" s="273"/>
      <c r="J42" s="273"/>
      <c r="K42" s="273"/>
      <c r="L42" s="273"/>
      <c r="M42" s="273"/>
      <c r="N42" s="273"/>
      <c r="O42" s="273">
        <f>IF(AND($U$23&lt;30,$N$8=$V$41),V42,
IF(AND($U$23&lt;30,$N$8=$W$41),W42,
IF(AND($U$23&lt;30,$N$8=$X$41),X42,
)))</f>
        <v>0</v>
      </c>
      <c r="P42" s="273" t="str">
        <f>IF($G$2=R42,IF(AND($G$2=R42,$U$23&lt;20),"Авансовий платіж має бути не менше 20%",IF(AND($G$2=R42,$U$23&gt;29.999),"Авансовий платіж має бути менше 30%","Авансовий платіж достатній")),"")</f>
        <v/>
      </c>
      <c r="Q42" s="273">
        <f>IF(AND($U$23&lt;30,$N$8=$S$41),S42,
IF(AND($U$23&lt;30,$N$8=$T$41),T42,
IF(AND($U$23&lt;30,$N$8=$U$41),U42,
)))</f>
        <v>0</v>
      </c>
      <c r="R42" s="273" t="s">
        <v>528</v>
      </c>
      <c r="S42" s="273">
        <v>1.5</v>
      </c>
      <c r="T42" s="273">
        <v>14.99</v>
      </c>
      <c r="U42" s="273">
        <v>17.489999999999998</v>
      </c>
      <c r="V42" s="273">
        <v>1.99</v>
      </c>
      <c r="W42" s="273">
        <v>2.4900000000000002</v>
      </c>
      <c r="X42" s="273">
        <v>2.4900000000000002</v>
      </c>
      <c r="Y42" s="273"/>
      <c r="Z42" s="273">
        <f>IF(AND($G$2=R42,OR($N$8=$S$41,$N$8=$T$41,$N$8=$U$41)),0.0299,
IF(AND($G$2=R42,OR($N$8=$X$41,$N$8=$W$41,$N$8=$V$41,$N$8=$Y$41)),0,0))</f>
        <v>0</v>
      </c>
      <c r="AA42" s="273">
        <f ca="1">Ануїтетна_графік_Авто!G43</f>
        <v>47369</v>
      </c>
      <c r="AB42" s="273">
        <f t="shared" si="2"/>
        <v>39</v>
      </c>
      <c r="AC42" s="273"/>
      <c r="AD42" s="273" t="e">
        <f ca="1">Ануїтетна_графік_Авто!J43</f>
        <v>#VALUE!</v>
      </c>
      <c r="AE42" s="273"/>
      <c r="AF42" s="273" t="e">
        <f ca="1">Ануїтетна_графік_Авто!K43</f>
        <v>#VALUE!</v>
      </c>
      <c r="AG42" s="273"/>
      <c r="AH42" s="273" t="e">
        <f ca="1">Ануїтетна_графік_Авто!M43</f>
        <v>#VALUE!</v>
      </c>
      <c r="AI42" s="273"/>
      <c r="AJ42" s="273">
        <f t="shared" ca="1" si="0"/>
        <v>47391</v>
      </c>
      <c r="AK42" s="273">
        <v>39</v>
      </c>
      <c r="AL42" s="273"/>
      <c r="AM42" s="273" t="e">
        <f ca="1">Ануїтетна_графік_Авто!J43</f>
        <v>#VALUE!</v>
      </c>
      <c r="AN42" s="273"/>
      <c r="AO42" s="273" t="e">
        <f ca="1">Ануїтетна_графік_Авто!K43</f>
        <v>#VALUE!</v>
      </c>
      <c r="AP42" s="273"/>
      <c r="AQ42" s="273" t="e">
        <f ca="1">Ануїтетна_графік_Авто!M43</f>
        <v>#VALUE!</v>
      </c>
      <c r="AR42" s="273"/>
      <c r="AS42" s="273" t="e">
        <f t="shared" ca="1" si="1"/>
        <v>#DIV/0!</v>
      </c>
      <c r="AT42" s="273"/>
      <c r="AU42" s="273"/>
      <c r="AV42" s="273"/>
      <c r="AW42" s="273"/>
      <c r="AX42" s="273"/>
      <c r="AY42" s="273"/>
      <c r="AZ42" s="273"/>
      <c r="BA42" s="273"/>
      <c r="BB42" s="273"/>
      <c r="BC42" s="273"/>
      <c r="BD42" s="273"/>
      <c r="BE42" s="273"/>
    </row>
    <row r="43" spans="1:57" x14ac:dyDescent="0.3">
      <c r="A43" s="273"/>
      <c r="B43" s="273">
        <v>19</v>
      </c>
      <c r="C43" s="273"/>
      <c r="D43" s="273">
        <v>19489.0896391444</v>
      </c>
      <c r="E43" s="273"/>
      <c r="F43" s="273">
        <v>4161.9103608556006</v>
      </c>
      <c r="G43" s="273"/>
      <c r="H43" s="273">
        <v>23651</v>
      </c>
      <c r="I43" s="273"/>
      <c r="J43" s="273"/>
      <c r="K43" s="273" t="s">
        <v>452</v>
      </c>
      <c r="L43" s="273"/>
      <c r="M43" s="273"/>
      <c r="N43" s="273"/>
      <c r="O43" s="273">
        <f>IF(AND($U$23&gt;=30,$U$23&lt;40,$N$8=$V$41),V43,
IF(AND($U$23&gt;=30,$U$23&lt;40,$N$8=$W$41),W43,
IF(AND($U$23&gt;=30,$U$23&lt;40,$N$8=$X$41),X43,
)))</f>
        <v>0</v>
      </c>
      <c r="P43" s="273" t="str">
        <f>IF($G$2=R43,IF(AND($G$2=R43,$U$23&lt;30),"Авансовий платіж має бути не менше 30%",IF(AND($G$2=R43,$U$23&gt;39.999),"Авансовий платіж має бути менше 40%","Авансовий платіж достатній")),"")</f>
        <v/>
      </c>
      <c r="Q43" s="273">
        <f>IF(AND($U$23&gt;=30,$U$23&lt;40,$N$8=$S$41),S43,
IF(AND($U$23&gt;=30,$U$23&lt;40,$N$8=$T$41),T43,
IF(AND($U$23&gt;=30,$U$23&lt;40,$N$8=$U$41),U43,
)))</f>
        <v>0</v>
      </c>
      <c r="R43" s="273" t="s">
        <v>529</v>
      </c>
      <c r="S43" s="273">
        <v>0.01</v>
      </c>
      <c r="T43" s="273">
        <v>14.49</v>
      </c>
      <c r="U43" s="273">
        <v>16.989999999999998</v>
      </c>
      <c r="V43" s="273">
        <v>1.99</v>
      </c>
      <c r="W43" s="273">
        <v>2.4900000000000002</v>
      </c>
      <c r="X43" s="273">
        <v>2.4900000000000002</v>
      </c>
      <c r="Y43" s="273"/>
      <c r="Z43" s="273">
        <f>IF(AND($G$2=R43,OR($N$8=$S$41,$N$8=$T$41,$N$8=$U$41)),0.0299,
IF(AND($G$2=R43,OR($N$8=$X$41,$N$8=$W$41,$N$8=$V$41,$N$8=$Y$41)),0,0))</f>
        <v>0</v>
      </c>
      <c r="AA43" s="273">
        <f ca="1">Ануїтетна_графік_Авто!G44</f>
        <v>47399</v>
      </c>
      <c r="AB43" s="273">
        <f>AB42+1</f>
        <v>40</v>
      </c>
      <c r="AC43" s="273"/>
      <c r="AD43" s="273" t="e">
        <f ca="1">Ануїтетна_графік_Авто!J44</f>
        <v>#VALUE!</v>
      </c>
      <c r="AE43" s="273"/>
      <c r="AF43" s="273" t="e">
        <f ca="1">Ануїтетна_графік_Авто!K44</f>
        <v>#VALUE!</v>
      </c>
      <c r="AG43" s="273"/>
      <c r="AH43" s="273" t="e">
        <f ca="1">Ануїтетна_графік_Авто!M44</f>
        <v>#VALUE!</v>
      </c>
      <c r="AI43" s="273"/>
      <c r="AJ43" s="273">
        <f t="shared" ca="1" si="0"/>
        <v>47422</v>
      </c>
      <c r="AK43" s="273">
        <v>40</v>
      </c>
      <c r="AL43" s="273"/>
      <c r="AM43" s="273" t="e">
        <f ca="1">Ануїтетна_графік_Авто!J44</f>
        <v>#VALUE!</v>
      </c>
      <c r="AN43" s="273"/>
      <c r="AO43" s="273" t="e">
        <f ca="1">Ануїтетна_графік_Авто!K44</f>
        <v>#VALUE!</v>
      </c>
      <c r="AP43" s="273"/>
      <c r="AQ43" s="273" t="e">
        <f ca="1">Ануїтетна_графік_Авто!M44</f>
        <v>#VALUE!</v>
      </c>
      <c r="AR43" s="273"/>
      <c r="AS43" s="273" t="e">
        <f t="shared" ca="1" si="1"/>
        <v>#DIV/0!</v>
      </c>
      <c r="AT43" s="273"/>
      <c r="AU43" s="273"/>
      <c r="AV43" s="273"/>
      <c r="AW43" s="273"/>
      <c r="AX43" s="273"/>
      <c r="AY43" s="273"/>
      <c r="AZ43" s="273"/>
      <c r="BA43" s="273"/>
      <c r="BB43" s="273"/>
      <c r="BC43" s="273"/>
      <c r="BD43" s="273"/>
      <c r="BE43" s="273"/>
    </row>
    <row r="44" spans="1:57" x14ac:dyDescent="0.3">
      <c r="A44" s="273"/>
      <c r="B44" s="273">
        <v>20</v>
      </c>
      <c r="C44" s="273"/>
      <c r="D44" s="273">
        <v>19568.361002304409</v>
      </c>
      <c r="E44" s="273"/>
      <c r="F44" s="273">
        <v>4082.6389976955902</v>
      </c>
      <c r="G44" s="273"/>
      <c r="H44" s="273">
        <v>23651</v>
      </c>
      <c r="I44" s="273"/>
      <c r="J44" s="273"/>
      <c r="K44" s="273"/>
      <c r="L44" s="273"/>
      <c r="M44" s="273"/>
      <c r="N44" s="273"/>
      <c r="O44" s="273">
        <f>IF(AND($U$23&gt;=40,$U$23&lt;50,$N$8=$V$41),V44,
IF(AND($U$23&gt;=40,$U$23&lt;50,$N$8=$W$41),W44,
IF(AND($U$23&gt;=40,$U$23&lt;50,$N$8=$X$41),X44,
)))</f>
        <v>0</v>
      </c>
      <c r="P44" s="273"/>
      <c r="Q44" s="273">
        <f>IF(AND($U$23&gt;=40,$U$23&lt;50,$N$8=$S$41),S44,
IF(AND($U$23&gt;=40,$U$23&lt;50,$N$8=$T$41),T44,
IF(AND($U$23&gt;=40,$U$23&lt;50,$N$8=$U$41),U44,
)))</f>
        <v>0</v>
      </c>
      <c r="R44" s="273" t="s">
        <v>530</v>
      </c>
      <c r="S44" s="273">
        <v>0.01</v>
      </c>
      <c r="T44" s="273">
        <v>13.49</v>
      </c>
      <c r="U44" s="273">
        <v>16.489999999999998</v>
      </c>
      <c r="V44" s="273">
        <v>0.99</v>
      </c>
      <c r="W44" s="273">
        <v>2.4900000000000002</v>
      </c>
      <c r="X44" s="273">
        <v>2.4900000000000002</v>
      </c>
      <c r="Y44" s="273"/>
      <c r="Z44" s="273"/>
      <c r="AA44" s="273">
        <f ca="1">Ануїтетна_графік_Авто!G45</f>
        <v>47430</v>
      </c>
      <c r="AB44" s="273">
        <f t="shared" si="2"/>
        <v>41</v>
      </c>
      <c r="AC44" s="273"/>
      <c r="AD44" s="273" t="e">
        <f ca="1">Ануїтетна_графік_Авто!J45</f>
        <v>#VALUE!</v>
      </c>
      <c r="AE44" s="273"/>
      <c r="AF44" s="273" t="e">
        <f ca="1">Ануїтетна_графік_Авто!K45</f>
        <v>#VALUE!</v>
      </c>
      <c r="AG44" s="273"/>
      <c r="AH44" s="273" t="e">
        <f ca="1">Ануїтетна_графік_Авто!M45</f>
        <v>#VALUE!</v>
      </c>
      <c r="AI44" s="273"/>
      <c r="AJ44" s="273">
        <f t="shared" ca="1" si="0"/>
        <v>47452</v>
      </c>
      <c r="AK44" s="273">
        <v>41</v>
      </c>
      <c r="AL44" s="273"/>
      <c r="AM44" s="273" t="e">
        <f ca="1">Ануїтетна_графік_Авто!J45</f>
        <v>#VALUE!</v>
      </c>
      <c r="AN44" s="273"/>
      <c r="AO44" s="273" t="e">
        <f ca="1">Ануїтетна_графік_Авто!K45</f>
        <v>#VALUE!</v>
      </c>
      <c r="AP44" s="273"/>
      <c r="AQ44" s="273" t="e">
        <f ca="1">Ануїтетна_графік_Авто!M45</f>
        <v>#VALUE!</v>
      </c>
      <c r="AR44" s="273"/>
      <c r="AS44" s="273" t="e">
        <f t="shared" ca="1" si="1"/>
        <v>#DIV/0!</v>
      </c>
      <c r="AT44" s="273"/>
      <c r="AU44" s="273"/>
      <c r="AV44" s="273"/>
      <c r="AW44" s="273"/>
      <c r="AX44" s="273"/>
      <c r="AY44" s="273"/>
      <c r="AZ44" s="273"/>
      <c r="BA44" s="273"/>
      <c r="BB44" s="273"/>
      <c r="BC44" s="273"/>
      <c r="BD44" s="273"/>
      <c r="BE44" s="273"/>
    </row>
    <row r="45" spans="1:57" x14ac:dyDescent="0.3">
      <c r="A45" s="273"/>
      <c r="B45" s="273">
        <v>21</v>
      </c>
      <c r="C45" s="273"/>
      <c r="D45" s="273">
        <v>19787.249427082686</v>
      </c>
      <c r="E45" s="273"/>
      <c r="F45" s="273">
        <v>3863.7505729173145</v>
      </c>
      <c r="G45" s="273"/>
      <c r="H45" s="273">
        <v>23651</v>
      </c>
      <c r="I45" s="273"/>
      <c r="J45" s="273"/>
      <c r="K45" s="273"/>
      <c r="L45" s="273"/>
      <c r="M45" s="273"/>
      <c r="N45" s="273"/>
      <c r="O45" s="273">
        <f>IF(AND($U$23&gt;=50,$U$23&lt;60,$N$8=$V$41),V45,
IF(AND($U$23&gt;=50,$U$23&lt;60,$N$8=$W$41),W45,
IF(AND($U$23&gt;=50,$U$23&lt;60,$N$8=$X$41),X45,
)))</f>
        <v>0</v>
      </c>
      <c r="P45" s="273"/>
      <c r="Q45" s="273">
        <f>IF(AND($U$23&gt;=50,$U$23&lt;60,$N$8=$S$41),S45,
IF(AND($U$23&gt;=50,$U$23&lt;60,$N$8=$T$41),T45,
IF(AND($U$23&gt;=50,$U$23&lt;60,$N$8=$U$41),U45,
)))</f>
        <v>0</v>
      </c>
      <c r="R45" s="273" t="s">
        <v>531</v>
      </c>
      <c r="S45" s="273">
        <v>0.01</v>
      </c>
      <c r="T45" s="273">
        <v>12.49</v>
      </c>
      <c r="U45" s="273">
        <v>15.99</v>
      </c>
      <c r="V45" s="273">
        <v>0</v>
      </c>
      <c r="W45" s="273">
        <v>2.4900000000000002</v>
      </c>
      <c r="X45" s="273">
        <v>2.4900000000000002</v>
      </c>
      <c r="Y45" s="273"/>
      <c r="Z45" s="273"/>
      <c r="AA45" s="273">
        <f ca="1">Ануїтетна_графік_Авто!G46</f>
        <v>47460</v>
      </c>
      <c r="AB45" s="273">
        <f t="shared" si="2"/>
        <v>42</v>
      </c>
      <c r="AC45" s="273"/>
      <c r="AD45" s="273" t="e">
        <f ca="1">Ануїтетна_графік_Авто!J46</f>
        <v>#VALUE!</v>
      </c>
      <c r="AE45" s="273"/>
      <c r="AF45" s="273" t="e">
        <f ca="1">Ануїтетна_графік_Авто!K46</f>
        <v>#VALUE!</v>
      </c>
      <c r="AG45" s="273"/>
      <c r="AH45" s="273" t="e">
        <f ca="1">Ануїтетна_графік_Авто!M46</f>
        <v>#VALUE!</v>
      </c>
      <c r="AI45" s="273"/>
      <c r="AJ45" s="273">
        <f t="shared" ca="1" si="0"/>
        <v>47483</v>
      </c>
      <c r="AK45" s="273">
        <v>42</v>
      </c>
      <c r="AL45" s="273"/>
      <c r="AM45" s="273" t="e">
        <f ca="1">Ануїтетна_графік_Авто!J46</f>
        <v>#VALUE!</v>
      </c>
      <c r="AN45" s="273"/>
      <c r="AO45" s="273" t="e">
        <f ca="1">Ануїтетна_графік_Авто!K46</f>
        <v>#VALUE!</v>
      </c>
      <c r="AP45" s="273"/>
      <c r="AQ45" s="273" t="e">
        <f ca="1">Ануїтетна_графік_Авто!M46</f>
        <v>#VALUE!</v>
      </c>
      <c r="AR45" s="273"/>
      <c r="AS45" s="273" t="e">
        <f t="shared" ca="1" si="1"/>
        <v>#DIV/0!</v>
      </c>
      <c r="AT45" s="273"/>
      <c r="AU45" s="273"/>
      <c r="AV45" s="273"/>
      <c r="AW45" s="273"/>
      <c r="AX45" s="273"/>
      <c r="AY45" s="273"/>
      <c r="AZ45" s="273"/>
      <c r="BA45" s="273"/>
      <c r="BB45" s="273"/>
      <c r="BC45" s="273"/>
      <c r="BD45" s="273"/>
      <c r="BE45" s="273"/>
    </row>
    <row r="46" spans="1:57" x14ac:dyDescent="0.3">
      <c r="A46" s="273"/>
      <c r="B46" s="273">
        <v>22</v>
      </c>
      <c r="C46" s="273"/>
      <c r="D46" s="273">
        <v>20361.077949560502</v>
      </c>
      <c r="E46" s="273"/>
      <c r="F46" s="273">
        <v>3289.9220504394975</v>
      </c>
      <c r="G46" s="273"/>
      <c r="H46" s="273">
        <v>23651</v>
      </c>
      <c r="I46" s="273"/>
      <c r="J46" s="273"/>
      <c r="K46" s="273" t="s">
        <v>456</v>
      </c>
      <c r="L46" s="273"/>
      <c r="M46" s="273"/>
      <c r="N46" s="273">
        <f>'Калькулятор (реал. ставка)'!C18</f>
        <v>0</v>
      </c>
      <c r="O46" s="273">
        <f>IF(AND($U$23&gt;=60,$U$23&lt;70,$N$8=$V$41),V46,
IF(AND($U$23&gt;=60,$U$23&lt;70,$N$8=$W$41),W46,
IF(AND($U$23&gt;=60,$U$23&lt;70,$N$8=$X$41),X46,
)))</f>
        <v>0</v>
      </c>
      <c r="P46" s="273"/>
      <c r="Q46" s="273">
        <f>IF(AND($U$23&gt;=60,$U$23&lt;70,$N$8=$S$41),S46,
IF(AND($U$23&gt;=60,$U$23&lt;70,$N$8=$T$41),T46,
IF(AND($U$23&gt;=60,$U$23&lt;70,$N$8=$U$41),U46,
)))</f>
        <v>0</v>
      </c>
      <c r="R46" s="273" t="s">
        <v>532</v>
      </c>
      <c r="S46" s="273">
        <v>0.01</v>
      </c>
      <c r="T46" s="273">
        <v>9.99</v>
      </c>
      <c r="U46" s="273">
        <v>14.99</v>
      </c>
      <c r="V46" s="273">
        <v>0</v>
      </c>
      <c r="W46" s="273">
        <v>1.99</v>
      </c>
      <c r="X46" s="273">
        <v>2.99</v>
      </c>
      <c r="Y46" s="273"/>
      <c r="Z46" s="273"/>
      <c r="AA46" s="273">
        <f ca="1">Ануїтетна_графік_Авто!G47</f>
        <v>47491</v>
      </c>
      <c r="AB46" s="273">
        <f t="shared" si="2"/>
        <v>43</v>
      </c>
      <c r="AC46" s="273"/>
      <c r="AD46" s="273" t="e">
        <f ca="1">Ануїтетна_графік_Авто!J47</f>
        <v>#VALUE!</v>
      </c>
      <c r="AE46" s="273"/>
      <c r="AF46" s="273" t="e">
        <f ca="1">Ануїтетна_графік_Авто!K47</f>
        <v>#VALUE!</v>
      </c>
      <c r="AG46" s="273"/>
      <c r="AH46" s="273" t="e">
        <f ca="1">Ануїтетна_графік_Авто!M47</f>
        <v>#VALUE!</v>
      </c>
      <c r="AI46" s="273"/>
      <c r="AJ46" s="273">
        <f t="shared" ca="1" si="0"/>
        <v>47514</v>
      </c>
      <c r="AK46" s="273">
        <v>43</v>
      </c>
      <c r="AL46" s="273"/>
      <c r="AM46" s="273" t="e">
        <f ca="1">Ануїтетна_графік_Авто!J47</f>
        <v>#VALUE!</v>
      </c>
      <c r="AN46" s="273"/>
      <c r="AO46" s="273" t="e">
        <f ca="1">Ануїтетна_графік_Авто!K47</f>
        <v>#VALUE!</v>
      </c>
      <c r="AP46" s="273"/>
      <c r="AQ46" s="273" t="e">
        <f ca="1">Ануїтетна_графік_Авто!M47</f>
        <v>#VALUE!</v>
      </c>
      <c r="AR46" s="273"/>
      <c r="AS46" s="273" t="e">
        <f t="shared" ca="1" si="1"/>
        <v>#DIV/0!</v>
      </c>
      <c r="AT46" s="273"/>
      <c r="AU46" s="273"/>
      <c r="AV46" s="273"/>
      <c r="AW46" s="273"/>
      <c r="AX46" s="273"/>
      <c r="AY46" s="273"/>
      <c r="AZ46" s="273"/>
      <c r="BA46" s="273"/>
      <c r="BB46" s="273"/>
      <c r="BC46" s="273"/>
      <c r="BD46" s="273"/>
      <c r="BE46" s="273"/>
    </row>
    <row r="47" spans="1:57" x14ac:dyDescent="0.3">
      <c r="A47" s="273"/>
      <c r="B47" s="273">
        <v>23</v>
      </c>
      <c r="C47" s="273"/>
      <c r="D47" s="273">
        <v>20236.341925729921</v>
      </c>
      <c r="E47" s="273"/>
      <c r="F47" s="273">
        <v>3414.6580742700799</v>
      </c>
      <c r="G47" s="273"/>
      <c r="H47" s="273">
        <v>23651</v>
      </c>
      <c r="I47" s="273"/>
      <c r="J47" s="273"/>
      <c r="K47" s="273"/>
      <c r="L47" s="273"/>
      <c r="M47" s="273"/>
      <c r="N47" s="273"/>
      <c r="O47" s="273">
        <f>IF(AND($U$23&gt;=70,$N$8=$V$41),V47,
IF(AND($U$23&gt;=70,$N$8=$W$41),W47,
IF(AND($U$23&gt;=70,$N$8=$X$41),X47,
)))</f>
        <v>0</v>
      </c>
      <c r="P47" s="273"/>
      <c r="Q47" s="273">
        <f>IF(AND($U$23&gt;=70,$N$8=$S$41),S47,
IF(AND($U$23&gt;=70,$N$8=$T$41),T47,
IF(AND($U$23&gt;=70,$N$8=$U$41),U47,
)))</f>
        <v>0</v>
      </c>
      <c r="R47" s="273" t="s">
        <v>533</v>
      </c>
      <c r="S47" s="273">
        <v>0.01</v>
      </c>
      <c r="T47" s="273">
        <v>6.49</v>
      </c>
      <c r="U47" s="273">
        <v>11.49</v>
      </c>
      <c r="V47" s="273">
        <v>0</v>
      </c>
      <c r="W47" s="273">
        <v>0</v>
      </c>
      <c r="X47" s="273">
        <v>0</v>
      </c>
      <c r="Y47" s="273"/>
      <c r="Z47" s="273"/>
      <c r="AA47" s="273">
        <f ca="1">Ануїтетна_графік_Авто!G48</f>
        <v>47522</v>
      </c>
      <c r="AB47" s="273">
        <f t="shared" si="2"/>
        <v>44</v>
      </c>
      <c r="AC47" s="273"/>
      <c r="AD47" s="273" t="e">
        <f ca="1">Ануїтетна_графік_Авто!J48</f>
        <v>#VALUE!</v>
      </c>
      <c r="AE47" s="273"/>
      <c r="AF47" s="273" t="e">
        <f ca="1">Ануїтетна_графік_Авто!K48</f>
        <v>#VALUE!</v>
      </c>
      <c r="AG47" s="273"/>
      <c r="AH47" s="273" t="e">
        <f ca="1">Ануїтетна_графік_Авто!M48</f>
        <v>#VALUE!</v>
      </c>
      <c r="AI47" s="273"/>
      <c r="AJ47" s="273">
        <f t="shared" ca="1" si="0"/>
        <v>47542</v>
      </c>
      <c r="AK47" s="273">
        <v>44</v>
      </c>
      <c r="AL47" s="273"/>
      <c r="AM47" s="273" t="e">
        <f ca="1">Ануїтетна_графік_Авто!J48</f>
        <v>#VALUE!</v>
      </c>
      <c r="AN47" s="273"/>
      <c r="AO47" s="273" t="e">
        <f ca="1">Ануїтетна_графік_Авто!K48</f>
        <v>#VALUE!</v>
      </c>
      <c r="AP47" s="273"/>
      <c r="AQ47" s="273" t="e">
        <f ca="1">Ануїтетна_графік_Авто!M48</f>
        <v>#VALUE!</v>
      </c>
      <c r="AR47" s="273"/>
      <c r="AS47" s="273" t="e">
        <f t="shared" ca="1" si="1"/>
        <v>#DIV/0!</v>
      </c>
      <c r="AT47" s="273"/>
      <c r="AU47" s="273"/>
      <c r="AV47" s="273"/>
      <c r="AW47" s="273"/>
      <c r="AX47" s="273"/>
      <c r="AY47" s="273"/>
      <c r="AZ47" s="273"/>
      <c r="BA47" s="273"/>
      <c r="BB47" s="273"/>
      <c r="BC47" s="273"/>
      <c r="BD47" s="273"/>
      <c r="BE47" s="273"/>
    </row>
    <row r="48" spans="1:57" x14ac:dyDescent="0.3">
      <c r="A48" s="273"/>
      <c r="B48" s="273">
        <v>24</v>
      </c>
      <c r="C48" s="273"/>
      <c r="D48" s="273">
        <v>20565.550587536272</v>
      </c>
      <c r="E48" s="273"/>
      <c r="F48" s="273">
        <v>3085.4494124637276</v>
      </c>
      <c r="G48" s="273"/>
      <c r="H48" s="273">
        <v>23651</v>
      </c>
      <c r="I48" s="273"/>
      <c r="J48" s="273"/>
      <c r="K48" s="273"/>
      <c r="L48" s="273"/>
      <c r="M48" s="273"/>
      <c r="N48" s="273"/>
      <c r="O48" s="273"/>
      <c r="P48" s="273"/>
      <c r="Q48" s="273"/>
      <c r="R48" s="273"/>
      <c r="S48" s="273"/>
      <c r="T48" s="273"/>
      <c r="U48" s="273"/>
      <c r="V48" s="273"/>
      <c r="W48" s="273"/>
      <c r="X48" s="273"/>
      <c r="Y48" s="273"/>
      <c r="Z48" s="273"/>
      <c r="AA48" s="273">
        <f ca="1">Ануїтетна_графік_Авто!G49</f>
        <v>47550</v>
      </c>
      <c r="AB48" s="273">
        <f t="shared" si="2"/>
        <v>45</v>
      </c>
      <c r="AC48" s="273"/>
      <c r="AD48" s="273" t="e">
        <f ca="1">Ануїтетна_графік_Авто!J49</f>
        <v>#VALUE!</v>
      </c>
      <c r="AE48" s="273"/>
      <c r="AF48" s="273" t="e">
        <f ca="1">Ануїтетна_графік_Авто!K49</f>
        <v>#VALUE!</v>
      </c>
      <c r="AG48" s="273"/>
      <c r="AH48" s="273" t="e">
        <f ca="1">Ануїтетна_графік_Авто!M49</f>
        <v>#VALUE!</v>
      </c>
      <c r="AI48" s="273"/>
      <c r="AJ48" s="273">
        <f t="shared" ca="1" si="0"/>
        <v>47573</v>
      </c>
      <c r="AK48" s="273">
        <v>45</v>
      </c>
      <c r="AL48" s="273"/>
      <c r="AM48" s="273" t="e">
        <f ca="1">Ануїтетна_графік_Авто!J49</f>
        <v>#VALUE!</v>
      </c>
      <c r="AN48" s="273"/>
      <c r="AO48" s="273" t="e">
        <f ca="1">Ануїтетна_графік_Авто!K49</f>
        <v>#VALUE!</v>
      </c>
      <c r="AP48" s="273"/>
      <c r="AQ48" s="273" t="e">
        <f ca="1">Ануїтетна_графік_Авто!M49</f>
        <v>#VALUE!</v>
      </c>
      <c r="AR48" s="273"/>
      <c r="AS48" s="273" t="e">
        <f t="shared" ca="1" si="1"/>
        <v>#DIV/0!</v>
      </c>
      <c r="AT48" s="273"/>
      <c r="AU48" s="273"/>
      <c r="AV48" s="273"/>
      <c r="AW48" s="273"/>
      <c r="AX48" s="273"/>
      <c r="AY48" s="273"/>
      <c r="AZ48" s="273"/>
      <c r="BA48" s="273"/>
      <c r="BB48" s="273"/>
      <c r="BC48" s="273"/>
      <c r="BD48" s="273"/>
      <c r="BE48" s="273"/>
    </row>
    <row r="49" spans="1:57" x14ac:dyDescent="0.3">
      <c r="A49" s="273"/>
      <c r="B49" s="273">
        <v>25</v>
      </c>
      <c r="C49" s="273"/>
      <c r="D49" s="273">
        <v>20692.745095067898</v>
      </c>
      <c r="E49" s="273"/>
      <c r="F49" s="273">
        <v>2958.2549049321033</v>
      </c>
      <c r="G49" s="273"/>
      <c r="H49" s="273">
        <v>23651</v>
      </c>
      <c r="I49" s="273"/>
      <c r="J49" s="273"/>
      <c r="K49" s="273" t="s">
        <v>453</v>
      </c>
      <c r="L49" s="273"/>
      <c r="M49" s="273"/>
      <c r="N49" s="273" t="e">
        <f>N25+N37+N40+N43+N46+IF(N31=N15,N31,0)+IF(N34=N12,N34,0)+IF(N28=G10,N28,0)</f>
        <v>#DIV/0!</v>
      </c>
      <c r="O49" s="273"/>
      <c r="P49" s="273"/>
      <c r="Q49" s="273">
        <f>SUM(Q51:Q56)</f>
        <v>0</v>
      </c>
      <c r="R49" s="273"/>
      <c r="S49" s="273"/>
      <c r="T49" s="273"/>
      <c r="U49" s="273"/>
      <c r="V49" s="273"/>
      <c r="W49" s="273"/>
      <c r="X49" s="273"/>
      <c r="Y49" s="273"/>
      <c r="Z49" s="273"/>
      <c r="AA49" s="273">
        <f ca="1">Ануїтетна_графік_Авто!G50</f>
        <v>47581</v>
      </c>
      <c r="AB49" s="273">
        <f t="shared" si="2"/>
        <v>46</v>
      </c>
      <c r="AC49" s="273"/>
      <c r="AD49" s="273" t="e">
        <f ca="1">Ануїтетна_графік_Авто!J50</f>
        <v>#VALUE!</v>
      </c>
      <c r="AE49" s="273"/>
      <c r="AF49" s="273" t="e">
        <f ca="1">Ануїтетна_графік_Авто!K50</f>
        <v>#VALUE!</v>
      </c>
      <c r="AG49" s="273"/>
      <c r="AH49" s="273" t="e">
        <f ca="1">Ануїтетна_графік_Авто!M50</f>
        <v>#VALUE!</v>
      </c>
      <c r="AI49" s="273"/>
      <c r="AJ49" s="273">
        <f t="shared" ca="1" si="0"/>
        <v>47603</v>
      </c>
      <c r="AK49" s="273">
        <v>46</v>
      </c>
      <c r="AL49" s="273"/>
      <c r="AM49" s="273" t="e">
        <f ca="1">Ануїтетна_графік_Авто!J50</f>
        <v>#VALUE!</v>
      </c>
      <c r="AN49" s="273"/>
      <c r="AO49" s="273" t="e">
        <f ca="1">Ануїтетна_графік_Авто!K50</f>
        <v>#VALUE!</v>
      </c>
      <c r="AP49" s="273"/>
      <c r="AQ49" s="273" t="e">
        <f ca="1">Ануїтетна_графік_Авто!M50</f>
        <v>#VALUE!</v>
      </c>
      <c r="AR49" s="273"/>
      <c r="AS49" s="273" t="e">
        <f t="shared" ca="1" si="1"/>
        <v>#DIV/0!</v>
      </c>
      <c r="AT49" s="273"/>
      <c r="AU49" s="273"/>
      <c r="AV49" s="273"/>
      <c r="AW49" s="273"/>
      <c r="AX49" s="273"/>
      <c r="AY49" s="273"/>
      <c r="AZ49" s="273"/>
      <c r="BA49" s="273"/>
      <c r="BB49" s="273"/>
      <c r="BC49" s="273"/>
      <c r="BD49" s="273"/>
      <c r="BE49" s="273"/>
    </row>
    <row r="50" spans="1:57" x14ac:dyDescent="0.3">
      <c r="A50" s="273"/>
      <c r="B50" s="273">
        <v>26</v>
      </c>
      <c r="C50" s="273"/>
      <c r="D50" s="273">
        <v>21012.17163830046</v>
      </c>
      <c r="E50" s="273"/>
      <c r="F50" s="273">
        <v>2638.8283616995386</v>
      </c>
      <c r="G50" s="273"/>
      <c r="H50" s="273">
        <v>23651</v>
      </c>
      <c r="I50" s="273"/>
      <c r="J50" s="273"/>
      <c r="K50" s="273"/>
      <c r="L50" s="273"/>
      <c r="M50" s="273"/>
      <c r="N50" s="273"/>
      <c r="O50" s="273"/>
      <c r="P50" s="273"/>
      <c r="Q50" s="273" t="s">
        <v>536</v>
      </c>
      <c r="R50" s="273" t="s">
        <v>477</v>
      </c>
      <c r="S50" s="273">
        <v>60</v>
      </c>
      <c r="T50" s="273">
        <v>84</v>
      </c>
      <c r="U50" s="273"/>
      <c r="V50" s="273"/>
      <c r="W50" s="273"/>
      <c r="X50" s="273"/>
      <c r="Y50" s="273"/>
      <c r="Z50" s="273"/>
      <c r="AA50" s="273">
        <f ca="1">Ануїтетна_графік_Авто!G51</f>
        <v>47611</v>
      </c>
      <c r="AB50" s="273">
        <f t="shared" si="2"/>
        <v>47</v>
      </c>
      <c r="AC50" s="273"/>
      <c r="AD50" s="273" t="e">
        <f ca="1">Ануїтетна_графік_Авто!J51</f>
        <v>#VALUE!</v>
      </c>
      <c r="AE50" s="273"/>
      <c r="AF50" s="273" t="e">
        <f ca="1">Ануїтетна_графік_Авто!K51</f>
        <v>#VALUE!</v>
      </c>
      <c r="AG50" s="273"/>
      <c r="AH50" s="273" t="e">
        <f ca="1">Ануїтетна_графік_Авто!M51</f>
        <v>#VALUE!</v>
      </c>
      <c r="AI50" s="273"/>
      <c r="AJ50" s="273">
        <f t="shared" ca="1" si="0"/>
        <v>47634</v>
      </c>
      <c r="AK50" s="273">
        <v>47</v>
      </c>
      <c r="AL50" s="273"/>
      <c r="AM50" s="273" t="e">
        <f ca="1">Ануїтетна_графік_Авто!J51</f>
        <v>#VALUE!</v>
      </c>
      <c r="AN50" s="273"/>
      <c r="AO50" s="273" t="e">
        <f ca="1">Ануїтетна_графік_Авто!K51</f>
        <v>#VALUE!</v>
      </c>
      <c r="AP50" s="273"/>
      <c r="AQ50" s="273" t="e">
        <f ca="1">Ануїтетна_графік_Авто!M51</f>
        <v>#VALUE!</v>
      </c>
      <c r="AR50" s="273"/>
      <c r="AS50" s="273" t="e">
        <f t="shared" ca="1" si="1"/>
        <v>#DIV/0!</v>
      </c>
      <c r="AT50" s="273"/>
      <c r="AU50" s="273"/>
      <c r="AV50" s="273"/>
      <c r="AW50" s="273"/>
      <c r="AX50" s="273"/>
      <c r="AY50" s="273"/>
      <c r="AZ50" s="273"/>
      <c r="BA50" s="273"/>
      <c r="BB50" s="273"/>
      <c r="BC50" s="273"/>
      <c r="BD50" s="273"/>
      <c r="BE50" s="273"/>
    </row>
    <row r="51" spans="1:57" x14ac:dyDescent="0.3">
      <c r="A51" s="273"/>
      <c r="B51" s="273">
        <v>27</v>
      </c>
      <c r="C51" s="273"/>
      <c r="D51" s="273">
        <v>21159.249342827898</v>
      </c>
      <c r="E51" s="273"/>
      <c r="F51" s="273">
        <v>2491.7506571721005</v>
      </c>
      <c r="G51" s="273"/>
      <c r="H51" s="273">
        <v>23651</v>
      </c>
      <c r="I51" s="273"/>
      <c r="J51" s="273"/>
      <c r="K51" s="273"/>
      <c r="L51" s="273"/>
      <c r="M51" s="273"/>
      <c r="N51" s="273"/>
      <c r="O51" s="273"/>
      <c r="P51" s="273"/>
      <c r="Q51" s="273">
        <f>IF(AND($U$23&lt;30,$N$8=$S$50),S51,
IF(AND($U$23&lt;30,$N$8=$T$50),T51,
))</f>
        <v>0</v>
      </c>
      <c r="R51" s="273" t="s">
        <v>528</v>
      </c>
      <c r="S51" s="273">
        <v>3.49</v>
      </c>
      <c r="T51" s="273">
        <v>6.29</v>
      </c>
      <c r="U51" s="273"/>
      <c r="V51" s="273"/>
      <c r="W51" s="273"/>
      <c r="X51" s="273"/>
      <c r="Y51" s="273"/>
      <c r="Z51" s="273"/>
      <c r="AA51" s="273">
        <f ca="1">Ануїтетна_графік_Авто!G52</f>
        <v>47642</v>
      </c>
      <c r="AB51" s="273">
        <f t="shared" si="2"/>
        <v>48</v>
      </c>
      <c r="AC51" s="273"/>
      <c r="AD51" s="273" t="e">
        <f ca="1">Ануїтетна_графік_Авто!J52</f>
        <v>#VALUE!</v>
      </c>
      <c r="AE51" s="273"/>
      <c r="AF51" s="273" t="e">
        <f ca="1">Ануїтетна_графік_Авто!K52</f>
        <v>#VALUE!</v>
      </c>
      <c r="AG51" s="273"/>
      <c r="AH51" s="273" t="e">
        <f ca="1">Ануїтетна_графік_Авто!M52</f>
        <v>#VALUE!</v>
      </c>
      <c r="AI51" s="273"/>
      <c r="AJ51" s="273">
        <f t="shared" ca="1" si="0"/>
        <v>47664</v>
      </c>
      <c r="AK51" s="273">
        <v>48</v>
      </c>
      <c r="AL51" s="273"/>
      <c r="AM51" s="273" t="e">
        <f ca="1">Ануїтетна_графік_Авто!J52</f>
        <v>#VALUE!</v>
      </c>
      <c r="AN51" s="273"/>
      <c r="AO51" s="273" t="e">
        <f ca="1">Ануїтетна_графік_Авто!K52</f>
        <v>#VALUE!</v>
      </c>
      <c r="AP51" s="273"/>
      <c r="AQ51" s="273" t="e">
        <f ca="1">Ануїтетна_графік_Авто!M52</f>
        <v>#VALUE!</v>
      </c>
      <c r="AR51" s="273"/>
      <c r="AS51" s="273" t="e">
        <f t="shared" ca="1" si="1"/>
        <v>#DIV/0!</v>
      </c>
      <c r="AT51" s="273"/>
      <c r="AU51" s="273"/>
      <c r="AV51" s="273"/>
      <c r="AW51" s="273"/>
      <c r="AX51" s="273"/>
      <c r="AY51" s="273"/>
      <c r="AZ51" s="273"/>
      <c r="BA51" s="273"/>
      <c r="BB51" s="273"/>
      <c r="BC51" s="273"/>
      <c r="BD51" s="273"/>
      <c r="BE51" s="273"/>
    </row>
    <row r="52" spans="1:57" x14ac:dyDescent="0.3">
      <c r="A52" s="273"/>
      <c r="B52" s="273">
        <v>28</v>
      </c>
      <c r="C52" s="273"/>
      <c r="D52" s="273">
        <v>21395.933179435215</v>
      </c>
      <c r="E52" s="273"/>
      <c r="F52" s="273">
        <v>2255.0668205647848</v>
      </c>
      <c r="G52" s="273"/>
      <c r="H52" s="273">
        <v>23651</v>
      </c>
      <c r="I52" s="273"/>
      <c r="J52" s="273"/>
      <c r="K52" s="273"/>
      <c r="L52" s="273"/>
      <c r="M52" s="273"/>
      <c r="N52" s="273"/>
      <c r="O52" s="273"/>
      <c r="P52" s="273"/>
      <c r="Q52" s="273">
        <f>IF(AND($U$23&gt;=30,$U$23&lt;40,$N$8=$S$50),S52,
IF(AND($U$23&gt;=30,$U$23&lt;40,$N$8=$T$50),T52,
))</f>
        <v>0</v>
      </c>
      <c r="R52" s="273" t="s">
        <v>529</v>
      </c>
      <c r="S52" s="273">
        <v>2.4900000000000002</v>
      </c>
      <c r="T52" s="273">
        <v>5.49</v>
      </c>
      <c r="U52" s="273"/>
      <c r="V52" s="273"/>
      <c r="W52" s="273"/>
      <c r="X52" s="273"/>
      <c r="Y52" s="273"/>
      <c r="Z52" s="273"/>
      <c r="AA52" s="273">
        <f ca="1">Ануїтетна_графік_Авто!G53</f>
        <v>47672</v>
      </c>
      <c r="AB52" s="273">
        <f t="shared" si="2"/>
        <v>49</v>
      </c>
      <c r="AC52" s="273"/>
      <c r="AD52" s="273" t="e">
        <f ca="1">Ануїтетна_графік_Авто!J53</f>
        <v>#VALUE!</v>
      </c>
      <c r="AE52" s="273"/>
      <c r="AF52" s="273" t="e">
        <f ca="1">Ануїтетна_графік_Авто!K53</f>
        <v>#VALUE!</v>
      </c>
      <c r="AG52" s="273"/>
      <c r="AH52" s="273" t="e">
        <f ca="1">Ануїтетна_графік_Авто!M53</f>
        <v>#VALUE!</v>
      </c>
      <c r="AI52" s="273"/>
      <c r="AJ52" s="273">
        <f t="shared" ca="1" si="0"/>
        <v>47695</v>
      </c>
      <c r="AK52" s="273">
        <v>49</v>
      </c>
      <c r="AL52" s="273"/>
      <c r="AM52" s="273" t="e">
        <f ca="1">Ануїтетна_графік_Авто!J53</f>
        <v>#VALUE!</v>
      </c>
      <c r="AN52" s="273"/>
      <c r="AO52" s="273" t="e">
        <f ca="1">Ануїтетна_графік_Авто!K53</f>
        <v>#VALUE!</v>
      </c>
      <c r="AP52" s="273"/>
      <c r="AQ52" s="273" t="e">
        <f ca="1">Ануїтетна_графік_Авто!M53</f>
        <v>#VALUE!</v>
      </c>
      <c r="AR52" s="273"/>
      <c r="AS52" s="273" t="e">
        <f t="shared" ca="1" si="1"/>
        <v>#DIV/0!</v>
      </c>
      <c r="AT52" s="273"/>
      <c r="AU52" s="273"/>
      <c r="AV52" s="273"/>
      <c r="AW52" s="273"/>
      <c r="AX52" s="273"/>
      <c r="AY52" s="273"/>
      <c r="AZ52" s="273"/>
      <c r="BA52" s="273"/>
      <c r="BB52" s="273"/>
      <c r="BC52" s="273"/>
      <c r="BD52" s="273"/>
      <c r="BE52" s="273"/>
    </row>
    <row r="53" spans="1:57" x14ac:dyDescent="0.3">
      <c r="A53" s="273"/>
      <c r="B53" s="273">
        <v>29</v>
      </c>
      <c r="C53" s="273"/>
      <c r="D53" s="273">
        <v>21700.288247088563</v>
      </c>
      <c r="E53" s="273"/>
      <c r="F53" s="273">
        <v>1950.711752911438</v>
      </c>
      <c r="G53" s="273"/>
      <c r="H53" s="273">
        <v>23651</v>
      </c>
      <c r="I53" s="273"/>
      <c r="J53" s="273"/>
      <c r="K53" s="273"/>
      <c r="L53" s="273"/>
      <c r="M53" s="273"/>
      <c r="N53" s="273"/>
      <c r="O53" s="273"/>
      <c r="P53" s="273"/>
      <c r="Q53" s="273">
        <f>IF(AND($U$23&gt;=40,$U$23&lt;50,$N$8=$S$50),S53,
IF(AND($U$23&gt;=40,$U$23&lt;50,$N$8=$T$50),T53,
))</f>
        <v>0</v>
      </c>
      <c r="R53" s="273" t="s">
        <v>530</v>
      </c>
      <c r="S53" s="273">
        <v>1.49</v>
      </c>
      <c r="T53" s="273">
        <v>4.49</v>
      </c>
      <c r="U53" s="273"/>
      <c r="V53" s="273"/>
      <c r="W53" s="273"/>
      <c r="X53" s="273"/>
      <c r="Y53" s="273"/>
      <c r="Z53" s="273"/>
      <c r="AA53" s="273">
        <f ca="1">Ануїтетна_графік_Авто!G54</f>
        <v>47703</v>
      </c>
      <c r="AB53" s="273">
        <f t="shared" si="2"/>
        <v>50</v>
      </c>
      <c r="AC53" s="273"/>
      <c r="AD53" s="273" t="e">
        <f ca="1">Ануїтетна_графік_Авто!J54</f>
        <v>#VALUE!</v>
      </c>
      <c r="AE53" s="273"/>
      <c r="AF53" s="273" t="e">
        <f ca="1">Ануїтетна_графік_Авто!K54</f>
        <v>#VALUE!</v>
      </c>
      <c r="AG53" s="273"/>
      <c r="AH53" s="273" t="e">
        <f ca="1">Ануїтетна_графік_Авто!M54</f>
        <v>#VALUE!</v>
      </c>
      <c r="AI53" s="273"/>
      <c r="AJ53" s="273">
        <f t="shared" ca="1" si="0"/>
        <v>47726</v>
      </c>
      <c r="AK53" s="273">
        <v>50</v>
      </c>
      <c r="AL53" s="273"/>
      <c r="AM53" s="273" t="e">
        <f ca="1">Ануїтетна_графік_Авто!J54</f>
        <v>#VALUE!</v>
      </c>
      <c r="AN53" s="273"/>
      <c r="AO53" s="273" t="e">
        <f ca="1">Ануїтетна_графік_Авто!K54</f>
        <v>#VALUE!</v>
      </c>
      <c r="AP53" s="273"/>
      <c r="AQ53" s="273" t="e">
        <f ca="1">Ануїтетна_графік_Авто!M54</f>
        <v>#VALUE!</v>
      </c>
      <c r="AR53" s="273"/>
      <c r="AS53" s="273" t="e">
        <f t="shared" ca="1" si="1"/>
        <v>#DIV/0!</v>
      </c>
      <c r="AT53" s="273"/>
      <c r="AU53" s="273"/>
      <c r="AV53" s="273"/>
      <c r="AW53" s="273"/>
      <c r="AX53" s="273"/>
      <c r="AY53" s="273"/>
      <c r="AZ53" s="273"/>
      <c r="BA53" s="273"/>
      <c r="BB53" s="273"/>
      <c r="BC53" s="273"/>
      <c r="BD53" s="273"/>
      <c r="BE53" s="273"/>
    </row>
    <row r="54" spans="1:57" x14ac:dyDescent="0.3">
      <c r="A54" s="273"/>
      <c r="B54" s="273">
        <v>30</v>
      </c>
      <c r="C54" s="273"/>
      <c r="D54" s="273">
        <v>21878.000329608738</v>
      </c>
      <c r="E54" s="273"/>
      <c r="F54" s="273">
        <v>1772.9996703912611</v>
      </c>
      <c r="G54" s="273"/>
      <c r="H54" s="273">
        <v>23651</v>
      </c>
      <c r="I54" s="273"/>
      <c r="J54" s="273"/>
      <c r="K54" s="273"/>
      <c r="L54" s="273"/>
      <c r="M54" s="273"/>
      <c r="N54" s="273"/>
      <c r="O54" s="273"/>
      <c r="P54" s="273"/>
      <c r="Q54" s="273">
        <f>IF(AND($U$23&gt;=50,$U$23&lt;60,$N$8=$S$50),S54,
IF(AND($U$23&gt;=50,$U$23&lt;60,$N$8=$T$50),T54,
))</f>
        <v>0</v>
      </c>
      <c r="R54" s="273" t="s">
        <v>531</v>
      </c>
      <c r="S54" s="273">
        <v>0.01</v>
      </c>
      <c r="T54" s="273">
        <v>2.79</v>
      </c>
      <c r="U54" s="273"/>
      <c r="V54" s="273"/>
      <c r="W54" s="273"/>
      <c r="X54" s="273"/>
      <c r="Y54" s="273"/>
      <c r="Z54" s="273"/>
      <c r="AA54" s="273">
        <f ca="1">Ануїтетна_графік_Авто!G55</f>
        <v>47734</v>
      </c>
      <c r="AB54" s="273">
        <f t="shared" si="2"/>
        <v>51</v>
      </c>
      <c r="AC54" s="273"/>
      <c r="AD54" s="273" t="e">
        <f ca="1">Ануїтетна_графік_Авто!J55</f>
        <v>#VALUE!</v>
      </c>
      <c r="AE54" s="273"/>
      <c r="AF54" s="273" t="e">
        <f ca="1">Ануїтетна_графік_Авто!K55</f>
        <v>#VALUE!</v>
      </c>
      <c r="AG54" s="273"/>
      <c r="AH54" s="273" t="e">
        <f ca="1">Ануїтетна_графік_Авто!M55</f>
        <v>#VALUE!</v>
      </c>
      <c r="AI54" s="273"/>
      <c r="AJ54" s="273">
        <f t="shared" ca="1" si="0"/>
        <v>47756</v>
      </c>
      <c r="AK54" s="273">
        <v>51</v>
      </c>
      <c r="AL54" s="273"/>
      <c r="AM54" s="273" t="e">
        <f ca="1">Ануїтетна_графік_Авто!J55</f>
        <v>#VALUE!</v>
      </c>
      <c r="AN54" s="273"/>
      <c r="AO54" s="273" t="e">
        <f ca="1">Ануїтетна_графік_Авто!K55</f>
        <v>#VALUE!</v>
      </c>
      <c r="AP54" s="273"/>
      <c r="AQ54" s="273" t="e">
        <f ca="1">Ануїтетна_графік_Авто!M55</f>
        <v>#VALUE!</v>
      </c>
      <c r="AR54" s="273"/>
      <c r="AS54" s="273" t="e">
        <f t="shared" ca="1" si="1"/>
        <v>#DIV/0!</v>
      </c>
      <c r="AT54" s="273"/>
      <c r="AU54" s="273"/>
      <c r="AV54" s="273"/>
      <c r="AW54" s="273"/>
      <c r="AX54" s="273"/>
      <c r="AY54" s="273"/>
      <c r="AZ54" s="273"/>
      <c r="BA54" s="273"/>
      <c r="BB54" s="273"/>
      <c r="BC54" s="273"/>
      <c r="BD54" s="273"/>
      <c r="BE54" s="273"/>
    </row>
    <row r="55" spans="1:57" x14ac:dyDescent="0.3">
      <c r="A55" s="273"/>
      <c r="B55" s="273">
        <v>31</v>
      </c>
      <c r="C55" s="273"/>
      <c r="D55" s="273">
        <v>22172.023220931311</v>
      </c>
      <c r="E55" s="273"/>
      <c r="F55" s="273">
        <v>1478.9767790686897</v>
      </c>
      <c r="G55" s="273"/>
      <c r="H55" s="273">
        <v>23651</v>
      </c>
      <c r="I55" s="273"/>
      <c r="J55" s="273"/>
      <c r="K55" s="273"/>
      <c r="L55" s="273"/>
      <c r="M55" s="273"/>
      <c r="N55" s="273"/>
      <c r="O55" s="273"/>
      <c r="P55" s="273"/>
      <c r="Q55" s="273">
        <f>IF(AND($U$23&gt;=60,$U$23&lt;70,$N$8=$S$50),S55,
IF(AND($U$23&gt;=60,$U$23&lt;70,$N$8=$T$50),T55,
))</f>
        <v>0</v>
      </c>
      <c r="R55" s="273" t="s">
        <v>532</v>
      </c>
      <c r="S55" s="273">
        <v>0.01</v>
      </c>
      <c r="T55" s="273">
        <v>0.01</v>
      </c>
      <c r="U55" s="273"/>
      <c r="V55" s="273"/>
      <c r="W55" s="273"/>
      <c r="X55" s="273"/>
      <c r="Y55" s="273"/>
      <c r="Z55" s="273"/>
      <c r="AA55" s="273">
        <f ca="1">Ануїтетна_графік_Авто!G56</f>
        <v>47764</v>
      </c>
      <c r="AB55" s="273">
        <f t="shared" si="2"/>
        <v>52</v>
      </c>
      <c r="AC55" s="273"/>
      <c r="AD55" s="273" t="e">
        <f ca="1">Ануїтетна_графік_Авто!J56</f>
        <v>#VALUE!</v>
      </c>
      <c r="AE55" s="273"/>
      <c r="AF55" s="273" t="e">
        <f ca="1">Ануїтетна_графік_Авто!K56</f>
        <v>#VALUE!</v>
      </c>
      <c r="AG55" s="273"/>
      <c r="AH55" s="273" t="e">
        <f ca="1">Ануїтетна_графік_Авто!M56</f>
        <v>#VALUE!</v>
      </c>
      <c r="AI55" s="273"/>
      <c r="AJ55" s="273">
        <f t="shared" ca="1" si="0"/>
        <v>47787</v>
      </c>
      <c r="AK55" s="273">
        <v>52</v>
      </c>
      <c r="AL55" s="273"/>
      <c r="AM55" s="273" t="e">
        <f ca="1">Ануїтетна_графік_Авто!J56</f>
        <v>#VALUE!</v>
      </c>
      <c r="AN55" s="273"/>
      <c r="AO55" s="273" t="e">
        <f ca="1">Ануїтетна_графік_Авто!K56</f>
        <v>#VALUE!</v>
      </c>
      <c r="AP55" s="273"/>
      <c r="AQ55" s="273" t="e">
        <f ca="1">Ануїтетна_графік_Авто!M56</f>
        <v>#VALUE!</v>
      </c>
      <c r="AR55" s="273"/>
      <c r="AS55" s="273" t="e">
        <f t="shared" ca="1" si="1"/>
        <v>#DIV/0!</v>
      </c>
      <c r="AT55" s="273"/>
      <c r="AU55" s="273"/>
      <c r="AV55" s="273"/>
      <c r="AW55" s="273"/>
      <c r="AX55" s="273"/>
      <c r="AY55" s="273"/>
      <c r="AZ55" s="273"/>
      <c r="BA55" s="273"/>
      <c r="BB55" s="273"/>
      <c r="BC55" s="273"/>
      <c r="BD55" s="273"/>
      <c r="BE55" s="273"/>
    </row>
    <row r="56" spans="1:57" x14ac:dyDescent="0.3">
      <c r="A56" s="273"/>
      <c r="B56" s="273">
        <v>32</v>
      </c>
      <c r="C56" s="273"/>
      <c r="D56" s="273">
        <v>22370.736551374488</v>
      </c>
      <c r="E56" s="273"/>
      <c r="F56" s="273">
        <v>1280.2634486255117</v>
      </c>
      <c r="G56" s="273"/>
      <c r="H56" s="273">
        <v>23651</v>
      </c>
      <c r="I56" s="273"/>
      <c r="J56" s="273"/>
      <c r="K56" s="273"/>
      <c r="L56" s="273"/>
      <c r="M56" s="273"/>
      <c r="N56" s="273"/>
      <c r="O56" s="273"/>
      <c r="P56" s="273"/>
      <c r="Q56" s="273">
        <f>IF(AND($U$23&gt;=70,$N$8=$S$50),S56,
IF(AND($U$23&gt;=70,$N$8=$T$50),T56,
))</f>
        <v>0</v>
      </c>
      <c r="R56" s="273" t="s">
        <v>533</v>
      </c>
      <c r="S56" s="273">
        <v>0.01</v>
      </c>
      <c r="T56" s="273">
        <v>0.01</v>
      </c>
      <c r="U56" s="273"/>
      <c r="V56" s="273"/>
      <c r="W56" s="273"/>
      <c r="X56" s="273"/>
      <c r="Y56" s="273"/>
      <c r="Z56" s="273"/>
      <c r="AA56" s="273">
        <f ca="1">Ануїтетна_графік_Авто!G57</f>
        <v>47795</v>
      </c>
      <c r="AB56" s="273">
        <f t="shared" si="2"/>
        <v>53</v>
      </c>
      <c r="AC56" s="273"/>
      <c r="AD56" s="273" t="e">
        <f ca="1">Ануїтетна_графік_Авто!J57</f>
        <v>#VALUE!</v>
      </c>
      <c r="AE56" s="273"/>
      <c r="AF56" s="273" t="e">
        <f ca="1">Ануїтетна_графік_Авто!K57</f>
        <v>#VALUE!</v>
      </c>
      <c r="AG56" s="273"/>
      <c r="AH56" s="273" t="e">
        <f ca="1">Ануїтетна_графік_Авто!M57</f>
        <v>#VALUE!</v>
      </c>
      <c r="AI56" s="273"/>
      <c r="AJ56" s="273">
        <f t="shared" ca="1" si="0"/>
        <v>47817</v>
      </c>
      <c r="AK56" s="273">
        <v>53</v>
      </c>
      <c r="AL56" s="273"/>
      <c r="AM56" s="273" t="e">
        <f ca="1">Ануїтетна_графік_Авто!J57</f>
        <v>#VALUE!</v>
      </c>
      <c r="AN56" s="273"/>
      <c r="AO56" s="273" t="e">
        <f ca="1">Ануїтетна_графік_Авто!K57</f>
        <v>#VALUE!</v>
      </c>
      <c r="AP56" s="273"/>
      <c r="AQ56" s="273" t="e">
        <f ca="1">Ануїтетна_графік_Авто!M57</f>
        <v>#VALUE!</v>
      </c>
      <c r="AR56" s="273"/>
      <c r="AS56" s="273" t="e">
        <f t="shared" ca="1" si="1"/>
        <v>#DIV/0!</v>
      </c>
      <c r="AT56" s="273"/>
      <c r="AU56" s="273"/>
      <c r="AV56" s="273"/>
      <c r="AW56" s="273"/>
      <c r="AX56" s="273"/>
      <c r="AY56" s="273"/>
      <c r="AZ56" s="273"/>
      <c r="BA56" s="273"/>
      <c r="BB56" s="273"/>
      <c r="BC56" s="273"/>
      <c r="BD56" s="273"/>
      <c r="BE56" s="273"/>
    </row>
    <row r="57" spans="1:57" x14ac:dyDescent="0.3">
      <c r="A57" s="273"/>
      <c r="B57" s="273">
        <v>33</v>
      </c>
      <c r="C57" s="273"/>
      <c r="D57" s="273">
        <v>22620.97188198207</v>
      </c>
      <c r="E57" s="273"/>
      <c r="F57" s="273">
        <v>1030.0281180179286</v>
      </c>
      <c r="G57" s="273"/>
      <c r="H57" s="273">
        <v>23651</v>
      </c>
      <c r="I57" s="273"/>
      <c r="J57" s="273"/>
      <c r="K57" s="273"/>
      <c r="L57" s="273"/>
      <c r="M57" s="273"/>
      <c r="N57" s="273"/>
      <c r="O57" s="273"/>
      <c r="P57" s="273"/>
      <c r="Q57" s="273"/>
      <c r="R57" s="273"/>
      <c r="S57" s="273"/>
      <c r="T57" s="273"/>
      <c r="U57" s="273"/>
      <c r="V57" s="273"/>
      <c r="W57" s="273"/>
      <c r="X57" s="273"/>
      <c r="Y57" s="273"/>
      <c r="Z57" s="273"/>
      <c r="AA57" s="273">
        <f ca="1">Ануїтетна_графік_Авто!G58</f>
        <v>47825</v>
      </c>
      <c r="AB57" s="273">
        <f t="shared" si="2"/>
        <v>54</v>
      </c>
      <c r="AC57" s="273"/>
      <c r="AD57" s="273" t="e">
        <f ca="1">Ануїтетна_графік_Авто!J58</f>
        <v>#VALUE!</v>
      </c>
      <c r="AE57" s="273"/>
      <c r="AF57" s="273" t="e">
        <f ca="1">Ануїтетна_графік_Авто!K58</f>
        <v>#VALUE!</v>
      </c>
      <c r="AG57" s="273"/>
      <c r="AH57" s="273" t="e">
        <f ca="1">Ануїтетна_графік_Авто!M58</f>
        <v>#VALUE!</v>
      </c>
      <c r="AI57" s="273"/>
      <c r="AJ57" s="273">
        <f t="shared" ca="1" si="0"/>
        <v>47848</v>
      </c>
      <c r="AK57" s="273">
        <v>54</v>
      </c>
      <c r="AL57" s="273"/>
      <c r="AM57" s="273" t="e">
        <f ca="1">Ануїтетна_графік_Авто!J58</f>
        <v>#VALUE!</v>
      </c>
      <c r="AN57" s="273"/>
      <c r="AO57" s="273" t="e">
        <f ca="1">Ануїтетна_графік_Авто!K58</f>
        <v>#VALUE!</v>
      </c>
      <c r="AP57" s="273"/>
      <c r="AQ57" s="273" t="e">
        <f ca="1">Ануїтетна_графік_Авто!M58</f>
        <v>#VALUE!</v>
      </c>
      <c r="AR57" s="273"/>
      <c r="AS57" s="273" t="e">
        <f t="shared" ca="1" si="1"/>
        <v>#DIV/0!</v>
      </c>
      <c r="AT57" s="273"/>
      <c r="AU57" s="273"/>
      <c r="AV57" s="273"/>
      <c r="AW57" s="273"/>
      <c r="AX57" s="273"/>
      <c r="AY57" s="273"/>
      <c r="AZ57" s="273"/>
      <c r="BA57" s="273"/>
      <c r="BB57" s="273"/>
      <c r="BC57" s="273"/>
      <c r="BD57" s="273"/>
      <c r="BE57" s="273"/>
    </row>
    <row r="58" spans="1:57" x14ac:dyDescent="0.3">
      <c r="A58" s="273"/>
      <c r="B58" s="273">
        <v>34</v>
      </c>
      <c r="C58" s="273"/>
      <c r="D58" s="273">
        <v>22924.134928886011</v>
      </c>
      <c r="E58" s="273"/>
      <c r="F58" s="273">
        <v>726.8650711139893</v>
      </c>
      <c r="G58" s="273"/>
      <c r="H58" s="273">
        <v>23651</v>
      </c>
      <c r="I58" s="273"/>
      <c r="J58" s="273"/>
      <c r="K58" s="273"/>
      <c r="L58" s="273"/>
      <c r="M58" s="273"/>
      <c r="N58" s="273"/>
      <c r="O58" s="273"/>
      <c r="P58" s="273"/>
      <c r="Q58" s="273"/>
      <c r="R58" s="273"/>
      <c r="S58" s="273"/>
      <c r="T58" s="273"/>
      <c r="U58" s="273"/>
      <c r="V58" s="273"/>
      <c r="W58" s="273"/>
      <c r="X58" s="273"/>
      <c r="Y58" s="273"/>
      <c r="Z58" s="273"/>
      <c r="AA58" s="273">
        <f ca="1">Ануїтетна_графік_Авто!G59</f>
        <v>47856</v>
      </c>
      <c r="AB58" s="273">
        <f t="shared" si="2"/>
        <v>55</v>
      </c>
      <c r="AC58" s="273"/>
      <c r="AD58" s="273" t="e">
        <f ca="1">Ануїтетна_графік_Авто!J59</f>
        <v>#VALUE!</v>
      </c>
      <c r="AE58" s="273"/>
      <c r="AF58" s="273" t="e">
        <f ca="1">Ануїтетна_графік_Авто!K59</f>
        <v>#VALUE!</v>
      </c>
      <c r="AG58" s="273"/>
      <c r="AH58" s="273" t="e">
        <f ca="1">Ануїтетна_графік_Авто!M59</f>
        <v>#VALUE!</v>
      </c>
      <c r="AI58" s="273"/>
      <c r="AJ58" s="273">
        <f t="shared" ca="1" si="0"/>
        <v>47879</v>
      </c>
      <c r="AK58" s="273">
        <v>55</v>
      </c>
      <c r="AL58" s="273"/>
      <c r="AM58" s="273" t="e">
        <f ca="1">Ануїтетна_графік_Авто!J59</f>
        <v>#VALUE!</v>
      </c>
      <c r="AN58" s="273"/>
      <c r="AO58" s="273" t="e">
        <f ca="1">Ануїтетна_графік_Авто!K59</f>
        <v>#VALUE!</v>
      </c>
      <c r="AP58" s="273"/>
      <c r="AQ58" s="273" t="e">
        <f ca="1">Ануїтетна_графік_Авто!M59</f>
        <v>#VALUE!</v>
      </c>
      <c r="AR58" s="273"/>
      <c r="AS58" s="273" t="e">
        <f t="shared" ca="1" si="1"/>
        <v>#DIV/0!</v>
      </c>
      <c r="AT58" s="273"/>
      <c r="AU58" s="273"/>
      <c r="AV58" s="273"/>
      <c r="AW58" s="273"/>
      <c r="AX58" s="273"/>
      <c r="AY58" s="273"/>
      <c r="AZ58" s="273"/>
      <c r="BA58" s="273"/>
      <c r="BB58" s="273"/>
      <c r="BC58" s="273"/>
      <c r="BD58" s="273"/>
      <c r="BE58" s="273"/>
    </row>
    <row r="59" spans="1:57" x14ac:dyDescent="0.3">
      <c r="A59" s="273"/>
      <c r="B59" s="273">
        <v>35</v>
      </c>
      <c r="C59" s="273"/>
      <c r="D59" s="273">
        <v>23130.431855917308</v>
      </c>
      <c r="E59" s="273"/>
      <c r="F59" s="273">
        <v>520.56814408269349</v>
      </c>
      <c r="G59" s="273"/>
      <c r="H59" s="273">
        <v>23651</v>
      </c>
      <c r="I59" s="273"/>
      <c r="J59" s="273"/>
      <c r="K59" s="273"/>
      <c r="L59" s="273"/>
      <c r="M59" s="273"/>
      <c r="N59" s="273"/>
      <c r="O59" s="273"/>
      <c r="P59" s="273"/>
      <c r="Q59" s="273"/>
      <c r="R59" s="273"/>
      <c r="S59" s="273"/>
      <c r="T59" s="273"/>
      <c r="U59" s="273"/>
      <c r="V59" s="273"/>
      <c r="W59" s="273"/>
      <c r="X59" s="273"/>
      <c r="Y59" s="273"/>
      <c r="Z59" s="273"/>
      <c r="AA59" s="273">
        <f ca="1">Ануїтетна_графік_Авто!G60</f>
        <v>47887</v>
      </c>
      <c r="AB59" s="273">
        <f t="shared" si="2"/>
        <v>56</v>
      </c>
      <c r="AC59" s="273"/>
      <c r="AD59" s="273" t="e">
        <f ca="1">Ануїтетна_графік_Авто!J60</f>
        <v>#VALUE!</v>
      </c>
      <c r="AE59" s="273"/>
      <c r="AF59" s="273" t="e">
        <f ca="1">Ануїтетна_графік_Авто!K60</f>
        <v>#VALUE!</v>
      </c>
      <c r="AG59" s="273"/>
      <c r="AH59" s="273" t="e">
        <f ca="1">Ануїтетна_графік_Авто!M60</f>
        <v>#VALUE!</v>
      </c>
      <c r="AI59" s="273"/>
      <c r="AJ59" s="273">
        <f t="shared" ca="1" si="0"/>
        <v>47907</v>
      </c>
      <c r="AK59" s="273">
        <v>56</v>
      </c>
      <c r="AL59" s="273"/>
      <c r="AM59" s="273" t="e">
        <f ca="1">Ануїтетна_графік_Авто!J60</f>
        <v>#VALUE!</v>
      </c>
      <c r="AN59" s="273"/>
      <c r="AO59" s="273" t="e">
        <f ca="1">Ануїтетна_графік_Авто!K60</f>
        <v>#VALUE!</v>
      </c>
      <c r="AP59" s="273"/>
      <c r="AQ59" s="273" t="e">
        <f ca="1">Ануїтетна_графік_Авто!M60</f>
        <v>#VALUE!</v>
      </c>
      <c r="AR59" s="273"/>
      <c r="AS59" s="273" t="e">
        <f t="shared" ca="1" si="1"/>
        <v>#DIV/0!</v>
      </c>
      <c r="AT59" s="273"/>
      <c r="AU59" s="273"/>
      <c r="AV59" s="273"/>
      <c r="AW59" s="273"/>
      <c r="AX59" s="273"/>
      <c r="AY59" s="273"/>
      <c r="AZ59" s="273"/>
      <c r="BA59" s="273"/>
      <c r="BB59" s="273"/>
      <c r="BC59" s="273"/>
      <c r="BD59" s="273"/>
      <c r="BE59" s="273"/>
    </row>
    <row r="60" spans="1:57" x14ac:dyDescent="0.3">
      <c r="A60" s="273"/>
      <c r="B60" s="273">
        <v>36</v>
      </c>
      <c r="C60" s="273"/>
      <c r="D60" s="273">
        <v>23407.731959863977</v>
      </c>
      <c r="E60" s="273"/>
      <c r="F60" s="273">
        <v>244.94240851667661</v>
      </c>
      <c r="G60" s="273"/>
      <c r="H60" s="273">
        <v>23652.674368380653</v>
      </c>
      <c r="I60" s="273"/>
      <c r="J60" s="273"/>
      <c r="K60" s="273"/>
      <c r="L60" s="273"/>
      <c r="M60" s="273"/>
      <c r="N60" s="273"/>
      <c r="O60" s="273"/>
      <c r="P60" s="273"/>
      <c r="Q60" s="273"/>
      <c r="R60" s="273"/>
      <c r="S60" s="273"/>
      <c r="T60" s="273"/>
      <c r="U60" s="273"/>
      <c r="V60" s="273"/>
      <c r="W60" s="273"/>
      <c r="X60" s="273"/>
      <c r="Y60" s="273"/>
      <c r="Z60" s="273"/>
      <c r="AA60" s="273">
        <f ca="1">Ануїтетна_графік_Авто!G61</f>
        <v>47915</v>
      </c>
      <c r="AB60" s="273">
        <f t="shared" si="2"/>
        <v>57</v>
      </c>
      <c r="AC60" s="273"/>
      <c r="AD60" s="273" t="e">
        <f ca="1">Ануїтетна_графік_Авто!J61</f>
        <v>#VALUE!</v>
      </c>
      <c r="AE60" s="273"/>
      <c r="AF60" s="273" t="e">
        <f ca="1">Ануїтетна_графік_Авто!K61</f>
        <v>#VALUE!</v>
      </c>
      <c r="AG60" s="273"/>
      <c r="AH60" s="273" t="e">
        <f ca="1">Ануїтетна_графік_Авто!M61</f>
        <v>#VALUE!</v>
      </c>
      <c r="AI60" s="273"/>
      <c r="AJ60" s="273">
        <f t="shared" ca="1" si="0"/>
        <v>47938</v>
      </c>
      <c r="AK60" s="273">
        <v>57</v>
      </c>
      <c r="AL60" s="273"/>
      <c r="AM60" s="273" t="e">
        <f ca="1">Ануїтетна_графік_Авто!J61</f>
        <v>#VALUE!</v>
      </c>
      <c r="AN60" s="273"/>
      <c r="AO60" s="273" t="e">
        <f ca="1">Ануїтетна_графік_Авто!K61</f>
        <v>#VALUE!</v>
      </c>
      <c r="AP60" s="273"/>
      <c r="AQ60" s="273" t="e">
        <f ca="1">Ануїтетна_графік_Авто!M61</f>
        <v>#VALUE!</v>
      </c>
      <c r="AR60" s="273"/>
      <c r="AS60" s="273" t="e">
        <f t="shared" ca="1" si="1"/>
        <v>#DIV/0!</v>
      </c>
      <c r="AT60" s="273"/>
      <c r="AU60" s="273"/>
      <c r="AV60" s="273"/>
      <c r="AW60" s="273"/>
      <c r="AX60" s="273"/>
      <c r="AY60" s="273"/>
      <c r="AZ60" s="273"/>
      <c r="BA60" s="273"/>
      <c r="BB60" s="273"/>
      <c r="BC60" s="273"/>
      <c r="BD60" s="273"/>
      <c r="BE60" s="273"/>
    </row>
    <row r="61" spans="1:57" x14ac:dyDescent="0.3">
      <c r="A61" s="273"/>
      <c r="B61" s="273" t="s">
        <v>454</v>
      </c>
      <c r="C61" s="273"/>
      <c r="D61" s="273">
        <v>700000</v>
      </c>
      <c r="E61" s="273"/>
      <c r="F61" s="273">
        <v>151437.67000000001</v>
      </c>
      <c r="G61" s="273"/>
      <c r="H61" s="273">
        <v>851437.67</v>
      </c>
      <c r="I61" s="273"/>
      <c r="J61" s="273"/>
      <c r="K61" s="273"/>
      <c r="L61" s="273"/>
      <c r="M61" s="273"/>
      <c r="N61" s="273"/>
      <c r="O61" s="273"/>
      <c r="P61" s="273"/>
      <c r="Q61" s="273"/>
      <c r="R61" s="273"/>
      <c r="S61" s="273"/>
      <c r="T61" s="273"/>
      <c r="U61" s="273"/>
      <c r="V61" s="273"/>
      <c r="W61" s="273"/>
      <c r="X61" s="273"/>
      <c r="Y61" s="273"/>
      <c r="Z61" s="273"/>
      <c r="AA61" s="273">
        <f ca="1">Ануїтетна_графік_Авто!G62</f>
        <v>47946</v>
      </c>
      <c r="AB61" s="273">
        <f t="shared" si="2"/>
        <v>58</v>
      </c>
      <c r="AC61" s="273"/>
      <c r="AD61" s="273" t="e">
        <f ca="1">Ануїтетна_графік_Авто!J62</f>
        <v>#VALUE!</v>
      </c>
      <c r="AE61" s="273"/>
      <c r="AF61" s="273" t="e">
        <f ca="1">Ануїтетна_графік_Авто!K62</f>
        <v>#VALUE!</v>
      </c>
      <c r="AG61" s="273"/>
      <c r="AH61" s="273" t="e">
        <f ca="1">Ануїтетна_графік_Авто!M62</f>
        <v>#VALUE!</v>
      </c>
      <c r="AI61" s="273"/>
      <c r="AJ61" s="273">
        <f t="shared" ca="1" si="0"/>
        <v>47968</v>
      </c>
      <c r="AK61" s="273">
        <v>58</v>
      </c>
      <c r="AL61" s="273"/>
      <c r="AM61" s="273" t="e">
        <f ca="1">Ануїтетна_графік_Авто!J62</f>
        <v>#VALUE!</v>
      </c>
      <c r="AN61" s="273"/>
      <c r="AO61" s="273" t="e">
        <f ca="1">Ануїтетна_графік_Авто!K62</f>
        <v>#VALUE!</v>
      </c>
      <c r="AP61" s="273"/>
      <c r="AQ61" s="273" t="e">
        <f ca="1">Ануїтетна_графік_Авто!M62</f>
        <v>#VALUE!</v>
      </c>
      <c r="AR61" s="273"/>
      <c r="AS61" s="273" t="e">
        <f t="shared" ca="1" si="1"/>
        <v>#DIV/0!</v>
      </c>
      <c r="AT61" s="273"/>
      <c r="AU61" s="273"/>
      <c r="AV61" s="273"/>
      <c r="AW61" s="273"/>
      <c r="AX61" s="273"/>
      <c r="AY61" s="273"/>
      <c r="AZ61" s="273"/>
      <c r="BA61" s="273"/>
      <c r="BB61" s="273"/>
      <c r="BC61" s="273"/>
      <c r="BD61" s="273"/>
      <c r="BE61" s="273"/>
    </row>
    <row r="62" spans="1:57" x14ac:dyDescent="0.3">
      <c r="A62" s="273"/>
      <c r="B62" s="273"/>
      <c r="C62" s="273"/>
      <c r="D62" s="273"/>
      <c r="E62" s="273"/>
      <c r="F62" s="273"/>
      <c r="G62" s="273"/>
      <c r="H62" s="273"/>
      <c r="I62" s="273"/>
      <c r="J62" s="273"/>
      <c r="K62" s="273"/>
      <c r="L62" s="273"/>
      <c r="M62" s="273"/>
      <c r="N62" s="273"/>
      <c r="O62" s="273"/>
      <c r="P62" s="273"/>
      <c r="Q62" s="273"/>
      <c r="R62" s="273"/>
      <c r="S62" s="273"/>
      <c r="T62" s="273"/>
      <c r="U62" s="273"/>
      <c r="V62" s="273"/>
      <c r="W62" s="273"/>
      <c r="X62" s="273"/>
      <c r="Y62" s="273"/>
      <c r="Z62" s="273"/>
      <c r="AA62" s="273">
        <f ca="1">Ануїтетна_графік_Авто!G63</f>
        <v>47976</v>
      </c>
      <c r="AB62" s="273">
        <f t="shared" si="2"/>
        <v>59</v>
      </c>
      <c r="AC62" s="273"/>
      <c r="AD62" s="273" t="e">
        <f ca="1">Ануїтетна_графік_Авто!J63</f>
        <v>#VALUE!</v>
      </c>
      <c r="AE62" s="273"/>
      <c r="AF62" s="273" t="e">
        <f ca="1">Ануїтетна_графік_Авто!K63</f>
        <v>#VALUE!</v>
      </c>
      <c r="AG62" s="273"/>
      <c r="AH62" s="273" t="e">
        <f ca="1">Ануїтетна_графік_Авто!M63</f>
        <v>#VALUE!</v>
      </c>
      <c r="AI62" s="273"/>
      <c r="AJ62" s="273">
        <f t="shared" ca="1" si="0"/>
        <v>47999</v>
      </c>
      <c r="AK62" s="273">
        <v>59</v>
      </c>
      <c r="AL62" s="273"/>
      <c r="AM62" s="273" t="e">
        <f ca="1">Ануїтетна_графік_Авто!J63</f>
        <v>#VALUE!</v>
      </c>
      <c r="AN62" s="273"/>
      <c r="AO62" s="273" t="e">
        <f ca="1">Ануїтетна_графік_Авто!K63</f>
        <v>#VALUE!</v>
      </c>
      <c r="AP62" s="273"/>
      <c r="AQ62" s="273" t="e">
        <f ca="1">Ануїтетна_графік_Авто!M63</f>
        <v>#VALUE!</v>
      </c>
      <c r="AR62" s="273"/>
      <c r="AS62" s="273" t="e">
        <f t="shared" ca="1" si="1"/>
        <v>#DIV/0!</v>
      </c>
      <c r="AT62" s="273"/>
      <c r="AU62" s="273"/>
      <c r="AV62" s="273"/>
      <c r="AW62" s="273"/>
      <c r="AX62" s="273"/>
      <c r="AY62" s="273"/>
      <c r="AZ62" s="273"/>
      <c r="BA62" s="273"/>
      <c r="BB62" s="273"/>
      <c r="BC62" s="273"/>
      <c r="BD62" s="273"/>
      <c r="BE62" s="273"/>
    </row>
    <row r="63" spans="1:57" x14ac:dyDescent="0.3">
      <c r="A63" s="273"/>
      <c r="B63" s="273"/>
      <c r="C63" s="273"/>
      <c r="D63" s="273"/>
      <c r="E63" s="273"/>
      <c r="F63" s="273"/>
      <c r="G63" s="273"/>
      <c r="H63" s="273"/>
      <c r="I63" s="273"/>
      <c r="J63" s="273"/>
      <c r="K63" s="273"/>
      <c r="L63" s="273"/>
      <c r="M63" s="273"/>
      <c r="N63" s="273"/>
      <c r="O63" s="273"/>
      <c r="P63" s="273"/>
      <c r="Q63" s="273"/>
      <c r="R63" s="273"/>
      <c r="S63" s="273"/>
      <c r="T63" s="273"/>
      <c r="U63" s="273"/>
      <c r="V63" s="273"/>
      <c r="W63" s="273"/>
      <c r="X63" s="273"/>
      <c r="Y63" s="273"/>
      <c r="Z63" s="273"/>
      <c r="AA63" s="273">
        <f ca="1">Ануїтетна_графік_Авто!G64</f>
        <v>48007</v>
      </c>
      <c r="AB63" s="273">
        <f t="shared" si="2"/>
        <v>60</v>
      </c>
      <c r="AC63" s="273"/>
      <c r="AD63" s="273" t="e">
        <f ca="1">Ануїтетна_графік_Авто!J64</f>
        <v>#VALUE!</v>
      </c>
      <c r="AE63" s="273"/>
      <c r="AF63" s="273" t="e">
        <f ca="1">Ануїтетна_графік_Авто!K64</f>
        <v>#VALUE!</v>
      </c>
      <c r="AG63" s="273"/>
      <c r="AH63" s="273" t="e">
        <f ca="1">Ануїтетна_графік_Авто!M64</f>
        <v>#VALUE!</v>
      </c>
      <c r="AI63" s="273"/>
      <c r="AJ63" s="273">
        <f t="shared" ca="1" si="0"/>
        <v>48029</v>
      </c>
      <c r="AK63" s="273">
        <v>60</v>
      </c>
      <c r="AL63" s="273"/>
      <c r="AM63" s="273" t="e">
        <f ca="1">Ануїтетна_графік_Авто!J64</f>
        <v>#VALUE!</v>
      </c>
      <c r="AN63" s="273"/>
      <c r="AO63" s="273" t="e">
        <f ca="1">Ануїтетна_графік_Авто!K64</f>
        <v>#VALUE!</v>
      </c>
      <c r="AP63" s="273"/>
      <c r="AQ63" s="273" t="e">
        <f ca="1">Ануїтетна_графік_Авто!M64</f>
        <v>#VALUE!</v>
      </c>
      <c r="AR63" s="273"/>
      <c r="AS63" s="273" t="e">
        <f t="shared" ca="1" si="1"/>
        <v>#DIV/0!</v>
      </c>
      <c r="AT63" s="273"/>
      <c r="AU63" s="273"/>
      <c r="AV63" s="273"/>
      <c r="AW63" s="273"/>
      <c r="AX63" s="273"/>
      <c r="AY63" s="273"/>
      <c r="AZ63" s="273"/>
      <c r="BA63" s="273"/>
      <c r="BB63" s="273"/>
      <c r="BC63" s="273"/>
      <c r="BD63" s="273"/>
      <c r="BE63" s="273"/>
    </row>
    <row r="64" spans="1:57" x14ac:dyDescent="0.3">
      <c r="A64" s="273"/>
      <c r="B64" s="273"/>
      <c r="C64" s="273"/>
      <c r="D64" s="273"/>
      <c r="E64" s="273"/>
      <c r="F64" s="273"/>
      <c r="G64" s="273"/>
      <c r="H64" s="273"/>
      <c r="I64" s="273"/>
      <c r="J64" s="273"/>
      <c r="K64" s="273"/>
      <c r="L64" s="273"/>
      <c r="M64" s="273"/>
      <c r="N64" s="273"/>
      <c r="O64" s="273"/>
      <c r="P64" s="273"/>
      <c r="Q64" s="273"/>
      <c r="R64" s="273"/>
      <c r="S64" s="273"/>
      <c r="T64" s="273"/>
      <c r="U64" s="273"/>
      <c r="V64" s="273"/>
      <c r="W64" s="273"/>
      <c r="X64" s="273"/>
      <c r="Y64" s="273"/>
      <c r="Z64" s="273"/>
      <c r="AA64" s="273">
        <f ca="1">Ануїтетна_графік_Авто!G65</f>
        <v>48037</v>
      </c>
      <c r="AB64" s="273">
        <f t="shared" si="2"/>
        <v>61</v>
      </c>
      <c r="AC64" s="273"/>
      <c r="AD64" s="273" t="e">
        <f ca="1">Ануїтетна_графік_Авто!J65</f>
        <v>#VALUE!</v>
      </c>
      <c r="AE64" s="273"/>
      <c r="AF64" s="273" t="e">
        <f ca="1">Ануїтетна_графік_Авто!K65</f>
        <v>#VALUE!</v>
      </c>
      <c r="AG64" s="273"/>
      <c r="AH64" s="273" t="e">
        <f ca="1">Ануїтетна_графік_Авто!M65</f>
        <v>#VALUE!</v>
      </c>
      <c r="AI64" s="273"/>
      <c r="AJ64" s="273">
        <f t="shared" ca="1" si="0"/>
        <v>48060</v>
      </c>
      <c r="AK64" s="273">
        <v>61</v>
      </c>
      <c r="AL64" s="273"/>
      <c r="AM64" s="273" t="e">
        <f ca="1">Ануїтетна_графік_Авто!J65</f>
        <v>#VALUE!</v>
      </c>
      <c r="AN64" s="273"/>
      <c r="AO64" s="273" t="e">
        <f ca="1">Ануїтетна_графік_Авто!K65</f>
        <v>#VALUE!</v>
      </c>
      <c r="AP64" s="273"/>
      <c r="AQ64" s="273" t="e">
        <f ca="1">Ануїтетна_графік_Авто!M65</f>
        <v>#VALUE!</v>
      </c>
      <c r="AR64" s="273"/>
      <c r="AS64" s="273" t="e">
        <f t="shared" ca="1" si="1"/>
        <v>#DIV/0!</v>
      </c>
      <c r="AT64" s="273"/>
      <c r="AU64" s="273"/>
      <c r="AV64" s="273"/>
      <c r="AW64" s="273"/>
      <c r="AX64" s="273"/>
      <c r="AY64" s="273"/>
      <c r="AZ64" s="273"/>
      <c r="BA64" s="273"/>
      <c r="BB64" s="273"/>
      <c r="BC64" s="273"/>
      <c r="BD64" s="273"/>
      <c r="BE64" s="273"/>
    </row>
    <row r="65" spans="1:57" x14ac:dyDescent="0.3">
      <c r="A65" s="273"/>
      <c r="B65" s="273"/>
      <c r="C65" s="273"/>
      <c r="D65" s="273"/>
      <c r="E65" s="273"/>
      <c r="F65" s="273"/>
      <c r="G65" s="273"/>
      <c r="H65" s="273"/>
      <c r="I65" s="273"/>
      <c r="J65" s="273"/>
      <c r="K65" s="273"/>
      <c r="L65" s="273"/>
      <c r="M65" s="273"/>
      <c r="N65" s="273"/>
      <c r="O65" s="273"/>
      <c r="P65" s="273"/>
      <c r="Q65" s="273"/>
      <c r="R65" s="273"/>
      <c r="S65" s="273"/>
      <c r="T65" s="273"/>
      <c r="U65" s="273"/>
      <c r="V65" s="273"/>
      <c r="W65" s="273"/>
      <c r="X65" s="273"/>
      <c r="Y65" s="273"/>
      <c r="Z65" s="273"/>
      <c r="AA65" s="273">
        <f ca="1">Ануїтетна_графік_Авто!G66</f>
        <v>48068</v>
      </c>
      <c r="AB65" s="273">
        <f t="shared" si="2"/>
        <v>62</v>
      </c>
      <c r="AC65" s="273"/>
      <c r="AD65" s="273" t="e">
        <f ca="1">Ануїтетна_графік_Авто!J66</f>
        <v>#VALUE!</v>
      </c>
      <c r="AE65" s="273"/>
      <c r="AF65" s="273" t="e">
        <f ca="1">Ануїтетна_графік_Авто!K66</f>
        <v>#VALUE!</v>
      </c>
      <c r="AG65" s="273"/>
      <c r="AH65" s="273" t="e">
        <f ca="1">Ануїтетна_графік_Авто!M66</f>
        <v>#VALUE!</v>
      </c>
      <c r="AI65" s="273"/>
      <c r="AJ65" s="273">
        <f t="shared" ca="1" si="0"/>
        <v>48091</v>
      </c>
      <c r="AK65" s="273">
        <v>62</v>
      </c>
      <c r="AL65" s="273"/>
      <c r="AM65" s="273" t="e">
        <f ca="1">Ануїтетна_графік_Авто!J66</f>
        <v>#VALUE!</v>
      </c>
      <c r="AN65" s="273"/>
      <c r="AO65" s="273" t="e">
        <f ca="1">Ануїтетна_графік_Авто!K66</f>
        <v>#VALUE!</v>
      </c>
      <c r="AP65" s="273"/>
      <c r="AQ65" s="273" t="e">
        <f ca="1">Ануїтетна_графік_Авто!M66</f>
        <v>#VALUE!</v>
      </c>
      <c r="AR65" s="273"/>
      <c r="AS65" s="273" t="e">
        <f t="shared" ca="1" si="1"/>
        <v>#DIV/0!</v>
      </c>
      <c r="AT65" s="273"/>
      <c r="AU65" s="273"/>
      <c r="AV65" s="273"/>
      <c r="AW65" s="273"/>
      <c r="AX65" s="273"/>
      <c r="AY65" s="273"/>
      <c r="AZ65" s="273"/>
      <c r="BA65" s="273"/>
      <c r="BB65" s="273"/>
      <c r="BC65" s="273"/>
      <c r="BD65" s="273"/>
      <c r="BE65" s="273"/>
    </row>
    <row r="66" spans="1:57" x14ac:dyDescent="0.3">
      <c r="A66" s="273"/>
      <c r="B66" s="273"/>
      <c r="C66" s="273"/>
      <c r="D66" s="273"/>
      <c r="E66" s="273"/>
      <c r="F66" s="273"/>
      <c r="G66" s="273"/>
      <c r="H66" s="273"/>
      <c r="I66" s="273"/>
      <c r="J66" s="273"/>
      <c r="K66" s="273"/>
      <c r="L66" s="273"/>
      <c r="M66" s="273"/>
      <c r="N66" s="273"/>
      <c r="O66" s="273"/>
      <c r="P66" s="273"/>
      <c r="Q66" s="273"/>
      <c r="R66" s="273"/>
      <c r="S66" s="273"/>
      <c r="T66" s="273"/>
      <c r="U66" s="273"/>
      <c r="V66" s="273"/>
      <c r="W66" s="273"/>
      <c r="X66" s="273"/>
      <c r="Y66" s="273"/>
      <c r="Z66" s="273"/>
      <c r="AA66" s="273">
        <f ca="1">Ануїтетна_графік_Авто!G67</f>
        <v>48099</v>
      </c>
      <c r="AB66" s="273">
        <f t="shared" si="2"/>
        <v>63</v>
      </c>
      <c r="AC66" s="273"/>
      <c r="AD66" s="273" t="e">
        <f ca="1">Ануїтетна_графік_Авто!J67</f>
        <v>#VALUE!</v>
      </c>
      <c r="AE66" s="273"/>
      <c r="AF66" s="273" t="e">
        <f ca="1">Ануїтетна_графік_Авто!K67</f>
        <v>#VALUE!</v>
      </c>
      <c r="AG66" s="273"/>
      <c r="AH66" s="273" t="e">
        <f ca="1">Ануїтетна_графік_Авто!M67</f>
        <v>#VALUE!</v>
      </c>
      <c r="AI66" s="273"/>
      <c r="AJ66" s="273">
        <f t="shared" ca="1" si="0"/>
        <v>48121</v>
      </c>
      <c r="AK66" s="273">
        <v>63</v>
      </c>
      <c r="AL66" s="273"/>
      <c r="AM66" s="273" t="e">
        <f ca="1">Ануїтетна_графік_Авто!J67</f>
        <v>#VALUE!</v>
      </c>
      <c r="AN66" s="273"/>
      <c r="AO66" s="273" t="e">
        <f ca="1">Ануїтетна_графік_Авто!K67</f>
        <v>#VALUE!</v>
      </c>
      <c r="AP66" s="273"/>
      <c r="AQ66" s="273" t="e">
        <f ca="1">Ануїтетна_графік_Авто!M67</f>
        <v>#VALUE!</v>
      </c>
      <c r="AR66" s="273"/>
      <c r="AS66" s="273" t="e">
        <f t="shared" ca="1" si="1"/>
        <v>#DIV/0!</v>
      </c>
      <c r="AT66" s="273"/>
      <c r="AU66" s="273"/>
      <c r="AV66" s="273"/>
      <c r="AW66" s="273"/>
      <c r="AX66" s="273"/>
      <c r="AY66" s="273"/>
      <c r="AZ66" s="273"/>
      <c r="BA66" s="273"/>
      <c r="BB66" s="273"/>
      <c r="BC66" s="273"/>
      <c r="BD66" s="273"/>
      <c r="BE66" s="273"/>
    </row>
    <row r="67" spans="1:57" x14ac:dyDescent="0.3">
      <c r="A67" s="273"/>
      <c r="B67" s="273"/>
      <c r="C67" s="273"/>
      <c r="D67" s="273"/>
      <c r="E67" s="273"/>
      <c r="F67" s="273"/>
      <c r="G67" s="273"/>
      <c r="H67" s="273"/>
      <c r="I67" s="273"/>
      <c r="J67" s="273"/>
      <c r="K67" s="273"/>
      <c r="L67" s="273"/>
      <c r="M67" s="273"/>
      <c r="N67" s="273"/>
      <c r="O67" s="273"/>
      <c r="P67" s="273"/>
      <c r="Q67" s="273"/>
      <c r="R67" s="273"/>
      <c r="S67" s="273"/>
      <c r="T67" s="273"/>
      <c r="U67" s="273"/>
      <c r="V67" s="273"/>
      <c r="W67" s="273"/>
      <c r="X67" s="273"/>
      <c r="Y67" s="273"/>
      <c r="Z67" s="273"/>
      <c r="AA67" s="273">
        <f ca="1">Ануїтетна_графік_Авто!G68</f>
        <v>48129</v>
      </c>
      <c r="AB67" s="273">
        <f t="shared" si="2"/>
        <v>64</v>
      </c>
      <c r="AC67" s="273"/>
      <c r="AD67" s="273" t="e">
        <f ca="1">Ануїтетна_графік_Авто!J68</f>
        <v>#VALUE!</v>
      </c>
      <c r="AE67" s="273"/>
      <c r="AF67" s="273" t="e">
        <f ca="1">Ануїтетна_графік_Авто!K68</f>
        <v>#VALUE!</v>
      </c>
      <c r="AG67" s="273"/>
      <c r="AH67" s="273" t="e">
        <f ca="1">Ануїтетна_графік_Авто!M68</f>
        <v>#VALUE!</v>
      </c>
      <c r="AI67" s="273"/>
      <c r="AJ67" s="273">
        <f t="shared" ca="1" si="0"/>
        <v>48152</v>
      </c>
      <c r="AK67" s="273">
        <v>64</v>
      </c>
      <c r="AL67" s="273"/>
      <c r="AM67" s="273" t="e">
        <f ca="1">Ануїтетна_графік_Авто!J68</f>
        <v>#VALUE!</v>
      </c>
      <c r="AN67" s="273"/>
      <c r="AO67" s="273" t="e">
        <f ca="1">Ануїтетна_графік_Авто!K68</f>
        <v>#VALUE!</v>
      </c>
      <c r="AP67" s="273"/>
      <c r="AQ67" s="273" t="e">
        <f ca="1">Ануїтетна_графік_Авто!M68</f>
        <v>#VALUE!</v>
      </c>
      <c r="AR67" s="273"/>
      <c r="AS67" s="273" t="e">
        <f t="shared" ca="1" si="1"/>
        <v>#DIV/0!</v>
      </c>
      <c r="AT67" s="273"/>
      <c r="AU67" s="273"/>
      <c r="AV67" s="273"/>
      <c r="AW67" s="273"/>
      <c r="AX67" s="273"/>
      <c r="AY67" s="273"/>
      <c r="AZ67" s="273"/>
      <c r="BA67" s="273"/>
      <c r="BB67" s="273"/>
      <c r="BC67" s="273"/>
      <c r="BD67" s="273"/>
      <c r="BE67" s="273"/>
    </row>
    <row r="68" spans="1:57" x14ac:dyDescent="0.3">
      <c r="A68" s="273"/>
      <c r="B68" s="273"/>
      <c r="C68" s="273"/>
      <c r="D68" s="273"/>
      <c r="E68" s="273"/>
      <c r="F68" s="273"/>
      <c r="G68" s="273"/>
      <c r="H68" s="273"/>
      <c r="I68" s="273"/>
      <c r="J68" s="273"/>
      <c r="K68" s="273"/>
      <c r="L68" s="273"/>
      <c r="M68" s="273"/>
      <c r="N68" s="273"/>
      <c r="O68" s="273"/>
      <c r="P68" s="273"/>
      <c r="Q68" s="273"/>
      <c r="R68" s="273"/>
      <c r="S68" s="273"/>
      <c r="T68" s="273"/>
      <c r="U68" s="273"/>
      <c r="V68" s="273"/>
      <c r="W68" s="273"/>
      <c r="X68" s="273"/>
      <c r="Y68" s="273"/>
      <c r="Z68" s="273"/>
      <c r="AA68" s="273">
        <f ca="1">Ануїтетна_графік_Авто!G69</f>
        <v>48160</v>
      </c>
      <c r="AB68" s="273">
        <f t="shared" si="2"/>
        <v>65</v>
      </c>
      <c r="AC68" s="273"/>
      <c r="AD68" s="273" t="e">
        <f ca="1">Ануїтетна_графік_Авто!J69</f>
        <v>#VALUE!</v>
      </c>
      <c r="AE68" s="273"/>
      <c r="AF68" s="273" t="e">
        <f ca="1">Ануїтетна_графік_Авто!K69</f>
        <v>#VALUE!</v>
      </c>
      <c r="AG68" s="273"/>
      <c r="AH68" s="273" t="e">
        <f ca="1">Ануїтетна_графік_Авто!M69</f>
        <v>#VALUE!</v>
      </c>
      <c r="AI68" s="273"/>
      <c r="AJ68" s="273">
        <f t="shared" ca="1" si="0"/>
        <v>48182</v>
      </c>
      <c r="AK68" s="273">
        <v>65</v>
      </c>
      <c r="AL68" s="273"/>
      <c r="AM68" s="273" t="e">
        <f ca="1">Ануїтетна_графік_Авто!J69</f>
        <v>#VALUE!</v>
      </c>
      <c r="AN68" s="273"/>
      <c r="AO68" s="273" t="e">
        <f ca="1">Ануїтетна_графік_Авто!K69</f>
        <v>#VALUE!</v>
      </c>
      <c r="AP68" s="273"/>
      <c r="AQ68" s="273" t="e">
        <f ca="1">Ануїтетна_графік_Авто!M69</f>
        <v>#VALUE!</v>
      </c>
      <c r="AR68" s="273"/>
      <c r="AS68" s="273" t="e">
        <f t="shared" ca="1" si="1"/>
        <v>#DIV/0!</v>
      </c>
      <c r="AT68" s="273"/>
      <c r="AU68" s="273"/>
      <c r="AV68" s="273"/>
      <c r="AW68" s="273"/>
      <c r="AX68" s="273"/>
      <c r="AY68" s="273"/>
      <c r="AZ68" s="273"/>
      <c r="BA68" s="273"/>
      <c r="BB68" s="273"/>
      <c r="BC68" s="273"/>
      <c r="BD68" s="273"/>
      <c r="BE68" s="273"/>
    </row>
    <row r="69" spans="1:57" x14ac:dyDescent="0.3">
      <c r="A69" s="273"/>
      <c r="B69" s="273"/>
      <c r="C69" s="273"/>
      <c r="D69" s="273"/>
      <c r="E69" s="273"/>
      <c r="F69" s="273"/>
      <c r="G69" s="273"/>
      <c r="H69" s="273"/>
      <c r="I69" s="273"/>
      <c r="J69" s="273"/>
      <c r="K69" s="273"/>
      <c r="L69" s="273"/>
      <c r="M69" s="273"/>
      <c r="N69" s="273"/>
      <c r="O69" s="273"/>
      <c r="P69" s="273"/>
      <c r="Q69" s="273"/>
      <c r="R69" s="273"/>
      <c r="S69" s="273"/>
      <c r="T69" s="273"/>
      <c r="U69" s="273"/>
      <c r="V69" s="273"/>
      <c r="W69" s="273"/>
      <c r="X69" s="273"/>
      <c r="Y69" s="273"/>
      <c r="Z69" s="273"/>
      <c r="AA69" s="273">
        <f ca="1">Ануїтетна_графік_Авто!G70</f>
        <v>48190</v>
      </c>
      <c r="AB69" s="273">
        <f t="shared" si="2"/>
        <v>66</v>
      </c>
      <c r="AC69" s="273"/>
      <c r="AD69" s="273" t="e">
        <f ca="1">Ануїтетна_графік_Авто!J70</f>
        <v>#VALUE!</v>
      </c>
      <c r="AE69" s="273"/>
      <c r="AF69" s="273" t="e">
        <f ca="1">Ануїтетна_графік_Авто!K70</f>
        <v>#VALUE!</v>
      </c>
      <c r="AG69" s="273"/>
      <c r="AH69" s="273" t="e">
        <f ca="1">Ануїтетна_графік_Авто!M70</f>
        <v>#VALUE!</v>
      </c>
      <c r="AI69" s="273"/>
      <c r="AJ69" s="273">
        <f t="shared" ref="AJ69:AJ89" ca="1" si="3">IF(AK69="","",DATE(YEAR(AJ68),MONTH(AJ68)+2,DAY(1)-1))</f>
        <v>48213</v>
      </c>
      <c r="AK69" s="273">
        <v>66</v>
      </c>
      <c r="AL69" s="273"/>
      <c r="AM69" s="273" t="e">
        <f ca="1">Ануїтетна_графік_Авто!J70</f>
        <v>#VALUE!</v>
      </c>
      <c r="AN69" s="273"/>
      <c r="AO69" s="273" t="e">
        <f ca="1">Ануїтетна_графік_Авто!K70</f>
        <v>#VALUE!</v>
      </c>
      <c r="AP69" s="273"/>
      <c r="AQ69" s="273" t="e">
        <f ca="1">Ануїтетна_графік_Авто!M70</f>
        <v>#VALUE!</v>
      </c>
      <c r="AR69" s="273"/>
      <c r="AS69" s="273" t="e">
        <f t="shared" ca="1" si="1"/>
        <v>#DIV/0!</v>
      </c>
      <c r="AT69" s="273"/>
      <c r="AU69" s="273"/>
      <c r="AV69" s="273"/>
      <c r="AW69" s="273"/>
      <c r="AX69" s="273"/>
      <c r="AY69" s="273"/>
      <c r="AZ69" s="273"/>
      <c r="BA69" s="273"/>
      <c r="BB69" s="273"/>
      <c r="BC69" s="273"/>
      <c r="BD69" s="273"/>
      <c r="BE69" s="273"/>
    </row>
    <row r="70" spans="1:57" x14ac:dyDescent="0.3">
      <c r="A70" s="273"/>
      <c r="B70" s="273"/>
      <c r="C70" s="273"/>
      <c r="D70" s="273"/>
      <c r="E70" s="273"/>
      <c r="F70" s="273"/>
      <c r="G70" s="273"/>
      <c r="H70" s="273"/>
      <c r="I70" s="273"/>
      <c r="J70" s="273"/>
      <c r="K70" s="273"/>
      <c r="L70" s="273"/>
      <c r="M70" s="273"/>
      <c r="N70" s="273"/>
      <c r="O70" s="273"/>
      <c r="P70" s="273"/>
      <c r="Q70" s="273"/>
      <c r="R70" s="273"/>
      <c r="S70" s="273"/>
      <c r="T70" s="273"/>
      <c r="U70" s="273"/>
      <c r="V70" s="273"/>
      <c r="W70" s="273"/>
      <c r="X70" s="273"/>
      <c r="Y70" s="273"/>
      <c r="Z70" s="273"/>
      <c r="AA70" s="273">
        <f ca="1">Ануїтетна_графік_Авто!G71</f>
        <v>48221</v>
      </c>
      <c r="AB70" s="273">
        <f t="shared" si="2"/>
        <v>67</v>
      </c>
      <c r="AC70" s="273"/>
      <c r="AD70" s="273" t="e">
        <f ca="1">Ануїтетна_графік_Авто!J71</f>
        <v>#VALUE!</v>
      </c>
      <c r="AE70" s="273"/>
      <c r="AF70" s="273" t="e">
        <f ca="1">Ануїтетна_графік_Авто!K71</f>
        <v>#VALUE!</v>
      </c>
      <c r="AG70" s="273"/>
      <c r="AH70" s="273" t="e">
        <f ca="1">Ануїтетна_графік_Авто!M71</f>
        <v>#VALUE!</v>
      </c>
      <c r="AI70" s="273"/>
      <c r="AJ70" s="273">
        <f t="shared" ca="1" si="3"/>
        <v>48244</v>
      </c>
      <c r="AK70" s="273">
        <v>67</v>
      </c>
      <c r="AL70" s="273"/>
      <c r="AM70" s="273" t="e">
        <f ca="1">Ануїтетна_графік_Авто!J71</f>
        <v>#VALUE!</v>
      </c>
      <c r="AN70" s="273"/>
      <c r="AO70" s="273" t="e">
        <f ca="1">Ануїтетна_графік_Авто!K71</f>
        <v>#VALUE!</v>
      </c>
      <c r="AP70" s="273"/>
      <c r="AQ70" s="273" t="e">
        <f ca="1">Ануїтетна_графік_Авто!M71</f>
        <v>#VALUE!</v>
      </c>
      <c r="AR70" s="273"/>
      <c r="AS70" s="273" t="e">
        <f t="shared" ref="AS70:AS89" ca="1" si="4">AS69-AM69</f>
        <v>#DIV/0!</v>
      </c>
      <c r="AT70" s="273"/>
      <c r="AU70" s="273"/>
      <c r="AV70" s="273"/>
      <c r="AW70" s="273"/>
      <c r="AX70" s="273"/>
      <c r="AY70" s="273"/>
      <c r="AZ70" s="273"/>
      <c r="BA70" s="273"/>
      <c r="BB70" s="273"/>
      <c r="BC70" s="273"/>
      <c r="BD70" s="273"/>
      <c r="BE70" s="273"/>
    </row>
    <row r="71" spans="1:57" x14ac:dyDescent="0.3">
      <c r="A71" s="273"/>
      <c r="B71" s="273"/>
      <c r="C71" s="273"/>
      <c r="D71" s="273"/>
      <c r="E71" s="273"/>
      <c r="F71" s="273"/>
      <c r="G71" s="273"/>
      <c r="H71" s="273"/>
      <c r="I71" s="273"/>
      <c r="J71" s="273"/>
      <c r="K71" s="273"/>
      <c r="L71" s="273"/>
      <c r="M71" s="273"/>
      <c r="N71" s="273"/>
      <c r="O71" s="273"/>
      <c r="P71" s="273"/>
      <c r="Q71" s="273"/>
      <c r="R71" s="273"/>
      <c r="S71" s="273"/>
      <c r="T71" s="273"/>
      <c r="U71" s="273"/>
      <c r="V71" s="273"/>
      <c r="W71" s="273"/>
      <c r="X71" s="273"/>
      <c r="Y71" s="273"/>
      <c r="Z71" s="273"/>
      <c r="AA71" s="273">
        <f ca="1">Ануїтетна_графік_Авто!G72</f>
        <v>48252</v>
      </c>
      <c r="AB71" s="273">
        <f t="shared" si="2"/>
        <v>68</v>
      </c>
      <c r="AC71" s="273"/>
      <c r="AD71" s="273" t="e">
        <f ca="1">Ануїтетна_графік_Авто!J72</f>
        <v>#VALUE!</v>
      </c>
      <c r="AE71" s="273"/>
      <c r="AF71" s="273" t="e">
        <f ca="1">Ануїтетна_графік_Авто!K72</f>
        <v>#VALUE!</v>
      </c>
      <c r="AG71" s="273"/>
      <c r="AH71" s="273" t="e">
        <f ca="1">Ануїтетна_графік_Авто!M72</f>
        <v>#VALUE!</v>
      </c>
      <c r="AI71" s="273"/>
      <c r="AJ71" s="273">
        <f t="shared" ca="1" si="3"/>
        <v>48273</v>
      </c>
      <c r="AK71" s="273">
        <v>68</v>
      </c>
      <c r="AL71" s="273"/>
      <c r="AM71" s="273" t="e">
        <f ca="1">Ануїтетна_графік_Авто!J72</f>
        <v>#VALUE!</v>
      </c>
      <c r="AN71" s="273"/>
      <c r="AO71" s="273" t="e">
        <f ca="1">Ануїтетна_графік_Авто!K72</f>
        <v>#VALUE!</v>
      </c>
      <c r="AP71" s="273"/>
      <c r="AQ71" s="273" t="e">
        <f ca="1">Ануїтетна_графік_Авто!M72</f>
        <v>#VALUE!</v>
      </c>
      <c r="AR71" s="273"/>
      <c r="AS71" s="273" t="e">
        <f t="shared" ca="1" si="4"/>
        <v>#DIV/0!</v>
      </c>
      <c r="AT71" s="273"/>
      <c r="AU71" s="273"/>
      <c r="AV71" s="273"/>
      <c r="AW71" s="273"/>
      <c r="AX71" s="273"/>
      <c r="AY71" s="273"/>
      <c r="AZ71" s="273"/>
      <c r="BA71" s="273"/>
      <c r="BB71" s="273"/>
      <c r="BC71" s="273"/>
      <c r="BD71" s="273"/>
      <c r="BE71" s="273"/>
    </row>
    <row r="72" spans="1:57" x14ac:dyDescent="0.3">
      <c r="A72" s="273"/>
      <c r="B72" s="273"/>
      <c r="C72" s="273"/>
      <c r="D72" s="273"/>
      <c r="E72" s="273"/>
      <c r="F72" s="273"/>
      <c r="G72" s="273"/>
      <c r="H72" s="273"/>
      <c r="I72" s="273"/>
      <c r="J72" s="273"/>
      <c r="K72" s="273"/>
      <c r="L72" s="273"/>
      <c r="M72" s="273"/>
      <c r="N72" s="273"/>
      <c r="O72" s="273"/>
      <c r="P72" s="273"/>
      <c r="Q72" s="273"/>
      <c r="R72" s="273"/>
      <c r="S72" s="273"/>
      <c r="T72" s="273"/>
      <c r="U72" s="273"/>
      <c r="V72" s="273"/>
      <c r="W72" s="273"/>
      <c r="X72" s="273"/>
      <c r="Y72" s="273"/>
      <c r="Z72" s="273"/>
      <c r="AA72" s="273">
        <f ca="1">Ануїтетна_графік_Авто!G73</f>
        <v>48281</v>
      </c>
      <c r="AB72" s="273">
        <f t="shared" si="2"/>
        <v>69</v>
      </c>
      <c r="AC72" s="273"/>
      <c r="AD72" s="273" t="e">
        <f ca="1">Ануїтетна_графік_Авто!J73</f>
        <v>#VALUE!</v>
      </c>
      <c r="AE72" s="273"/>
      <c r="AF72" s="273" t="e">
        <f ca="1">Ануїтетна_графік_Авто!K73</f>
        <v>#VALUE!</v>
      </c>
      <c r="AG72" s="273"/>
      <c r="AH72" s="273" t="e">
        <f ca="1">Ануїтетна_графік_Авто!M73</f>
        <v>#VALUE!</v>
      </c>
      <c r="AI72" s="273"/>
      <c r="AJ72" s="273">
        <f t="shared" ca="1" si="3"/>
        <v>48304</v>
      </c>
      <c r="AK72" s="273">
        <v>69</v>
      </c>
      <c r="AL72" s="273"/>
      <c r="AM72" s="273" t="e">
        <f ca="1">Ануїтетна_графік_Авто!J73</f>
        <v>#VALUE!</v>
      </c>
      <c r="AN72" s="273"/>
      <c r="AO72" s="273" t="e">
        <f ca="1">Ануїтетна_графік_Авто!K73</f>
        <v>#VALUE!</v>
      </c>
      <c r="AP72" s="273"/>
      <c r="AQ72" s="273" t="e">
        <f ca="1">Ануїтетна_графік_Авто!M73</f>
        <v>#VALUE!</v>
      </c>
      <c r="AR72" s="273"/>
      <c r="AS72" s="273" t="e">
        <f t="shared" ca="1" si="4"/>
        <v>#DIV/0!</v>
      </c>
      <c r="AT72" s="273"/>
      <c r="AU72" s="273"/>
      <c r="AV72" s="273"/>
      <c r="AW72" s="273"/>
      <c r="AX72" s="273"/>
      <c r="AY72" s="273"/>
      <c r="AZ72" s="273"/>
      <c r="BA72" s="273"/>
      <c r="BB72" s="273"/>
      <c r="BC72" s="273"/>
      <c r="BD72" s="273"/>
      <c r="BE72" s="273"/>
    </row>
    <row r="73" spans="1:57" x14ac:dyDescent="0.3">
      <c r="A73" s="273"/>
      <c r="B73" s="273"/>
      <c r="C73" s="273"/>
      <c r="D73" s="273"/>
      <c r="E73" s="273"/>
      <c r="F73" s="273"/>
      <c r="G73" s="273"/>
      <c r="H73" s="273"/>
      <c r="I73" s="273"/>
      <c r="J73" s="273"/>
      <c r="K73" s="273"/>
      <c r="L73" s="273"/>
      <c r="M73" s="273"/>
      <c r="N73" s="273"/>
      <c r="O73" s="273"/>
      <c r="P73" s="273"/>
      <c r="Q73" s="273"/>
      <c r="R73" s="273"/>
      <c r="S73" s="273"/>
      <c r="T73" s="273"/>
      <c r="U73" s="273"/>
      <c r="V73" s="273"/>
      <c r="W73" s="273"/>
      <c r="X73" s="273"/>
      <c r="Y73" s="273"/>
      <c r="Z73" s="273"/>
      <c r="AA73" s="273">
        <f ca="1">Ануїтетна_графік_Авто!G74</f>
        <v>48312</v>
      </c>
      <c r="AB73" s="273">
        <f t="shared" si="2"/>
        <v>70</v>
      </c>
      <c r="AC73" s="273"/>
      <c r="AD73" s="273" t="e">
        <f ca="1">Ануїтетна_графік_Авто!J74</f>
        <v>#VALUE!</v>
      </c>
      <c r="AE73" s="273"/>
      <c r="AF73" s="273" t="e">
        <f ca="1">Ануїтетна_графік_Авто!K74</f>
        <v>#VALUE!</v>
      </c>
      <c r="AG73" s="273"/>
      <c r="AH73" s="273" t="e">
        <f ca="1">Ануїтетна_графік_Авто!M74</f>
        <v>#VALUE!</v>
      </c>
      <c r="AI73" s="273"/>
      <c r="AJ73" s="273">
        <f t="shared" ca="1" si="3"/>
        <v>48334</v>
      </c>
      <c r="AK73" s="273">
        <v>70</v>
      </c>
      <c r="AL73" s="273"/>
      <c r="AM73" s="273" t="e">
        <f ca="1">Ануїтетна_графік_Авто!J74</f>
        <v>#VALUE!</v>
      </c>
      <c r="AN73" s="273"/>
      <c r="AO73" s="273" t="e">
        <f ca="1">Ануїтетна_графік_Авто!K74</f>
        <v>#VALUE!</v>
      </c>
      <c r="AP73" s="273"/>
      <c r="AQ73" s="273" t="e">
        <f ca="1">Ануїтетна_графік_Авто!M74</f>
        <v>#VALUE!</v>
      </c>
      <c r="AR73" s="273"/>
      <c r="AS73" s="273" t="e">
        <f t="shared" ca="1" si="4"/>
        <v>#DIV/0!</v>
      </c>
      <c r="AT73" s="273"/>
      <c r="AU73" s="273"/>
      <c r="AV73" s="273"/>
      <c r="AW73" s="273"/>
      <c r="AX73" s="273"/>
      <c r="AY73" s="273"/>
      <c r="AZ73" s="273"/>
      <c r="BA73" s="273"/>
      <c r="BB73" s="273"/>
      <c r="BC73" s="273"/>
      <c r="BD73" s="273"/>
      <c r="BE73" s="273"/>
    </row>
    <row r="74" spans="1:57" x14ac:dyDescent="0.3">
      <c r="A74" s="273"/>
      <c r="B74" s="273"/>
      <c r="C74" s="273"/>
      <c r="D74" s="273"/>
      <c r="E74" s="273"/>
      <c r="F74" s="273"/>
      <c r="G74" s="273"/>
      <c r="H74" s="273"/>
      <c r="I74" s="273"/>
      <c r="J74" s="273"/>
      <c r="K74" s="273"/>
      <c r="L74" s="273"/>
      <c r="M74" s="273"/>
      <c r="N74" s="273"/>
      <c r="O74" s="273"/>
      <c r="P74" s="273"/>
      <c r="Q74" s="273"/>
      <c r="R74" s="273"/>
      <c r="S74" s="273"/>
      <c r="T74" s="273"/>
      <c r="U74" s="273"/>
      <c r="V74" s="273"/>
      <c r="W74" s="273"/>
      <c r="X74" s="273"/>
      <c r="Y74" s="273"/>
      <c r="Z74" s="273"/>
      <c r="AA74" s="273">
        <f ca="1">Ануїтетна_графік_Авто!G75</f>
        <v>48342</v>
      </c>
      <c r="AB74" s="273">
        <f t="shared" si="2"/>
        <v>71</v>
      </c>
      <c r="AC74" s="273"/>
      <c r="AD74" s="273" t="e">
        <f ca="1">Ануїтетна_графік_Авто!J75</f>
        <v>#VALUE!</v>
      </c>
      <c r="AE74" s="273"/>
      <c r="AF74" s="273" t="e">
        <f ca="1">Ануїтетна_графік_Авто!K75</f>
        <v>#VALUE!</v>
      </c>
      <c r="AG74" s="273"/>
      <c r="AH74" s="273" t="e">
        <f ca="1">Ануїтетна_графік_Авто!M75</f>
        <v>#VALUE!</v>
      </c>
      <c r="AI74" s="273"/>
      <c r="AJ74" s="273">
        <f t="shared" ca="1" si="3"/>
        <v>48365</v>
      </c>
      <c r="AK74" s="273">
        <v>71</v>
      </c>
      <c r="AL74" s="273"/>
      <c r="AM74" s="273" t="e">
        <f ca="1">Ануїтетна_графік_Авто!J75</f>
        <v>#VALUE!</v>
      </c>
      <c r="AN74" s="273"/>
      <c r="AO74" s="273" t="e">
        <f ca="1">Ануїтетна_графік_Авто!K75</f>
        <v>#VALUE!</v>
      </c>
      <c r="AP74" s="273"/>
      <c r="AQ74" s="273" t="e">
        <f ca="1">Ануїтетна_графік_Авто!M75</f>
        <v>#VALUE!</v>
      </c>
      <c r="AR74" s="273"/>
      <c r="AS74" s="273" t="e">
        <f t="shared" ca="1" si="4"/>
        <v>#DIV/0!</v>
      </c>
      <c r="AT74" s="273"/>
      <c r="AU74" s="273"/>
      <c r="AV74" s="273"/>
      <c r="AW74" s="273"/>
      <c r="AX74" s="273"/>
      <c r="AY74" s="273"/>
      <c r="AZ74" s="273"/>
      <c r="BA74" s="273"/>
      <c r="BB74" s="273"/>
      <c r="BC74" s="273"/>
      <c r="BD74" s="273"/>
      <c r="BE74" s="273"/>
    </row>
    <row r="75" spans="1:57" x14ac:dyDescent="0.3">
      <c r="A75" s="273"/>
      <c r="B75" s="273"/>
      <c r="C75" s="273"/>
      <c r="D75" s="273"/>
      <c r="E75" s="273"/>
      <c r="F75" s="273"/>
      <c r="G75" s="273"/>
      <c r="H75" s="273"/>
      <c r="I75" s="273"/>
      <c r="J75" s="273"/>
      <c r="K75" s="273"/>
      <c r="L75" s="273"/>
      <c r="M75" s="273"/>
      <c r="N75" s="273"/>
      <c r="O75" s="273"/>
      <c r="P75" s="273"/>
      <c r="Q75" s="273"/>
      <c r="R75" s="273"/>
      <c r="S75" s="273"/>
      <c r="T75" s="273"/>
      <c r="U75" s="273"/>
      <c r="V75" s="273"/>
      <c r="W75" s="273"/>
      <c r="X75" s="273"/>
      <c r="Y75" s="273"/>
      <c r="Z75" s="273"/>
      <c r="AA75" s="273">
        <f ca="1">Ануїтетна_графік_Авто!G76</f>
        <v>48373</v>
      </c>
      <c r="AB75" s="273">
        <f t="shared" si="2"/>
        <v>72</v>
      </c>
      <c r="AC75" s="273"/>
      <c r="AD75" s="273" t="e">
        <f ca="1">Ануїтетна_графік_Авто!J76</f>
        <v>#VALUE!</v>
      </c>
      <c r="AE75" s="273"/>
      <c r="AF75" s="273" t="e">
        <f ca="1">Ануїтетна_графік_Авто!K76</f>
        <v>#VALUE!</v>
      </c>
      <c r="AG75" s="273"/>
      <c r="AH75" s="273" t="e">
        <f ca="1">Ануїтетна_графік_Авто!M76</f>
        <v>#VALUE!</v>
      </c>
      <c r="AI75" s="273"/>
      <c r="AJ75" s="273">
        <f t="shared" ca="1" si="3"/>
        <v>48395</v>
      </c>
      <c r="AK75" s="273">
        <v>72</v>
      </c>
      <c r="AL75" s="273"/>
      <c r="AM75" s="273" t="e">
        <f ca="1">Ануїтетна_графік_Авто!J76</f>
        <v>#VALUE!</v>
      </c>
      <c r="AN75" s="273"/>
      <c r="AO75" s="273" t="e">
        <f ca="1">Ануїтетна_графік_Авто!K76</f>
        <v>#VALUE!</v>
      </c>
      <c r="AP75" s="273"/>
      <c r="AQ75" s="273" t="e">
        <f ca="1">Ануїтетна_графік_Авто!M76</f>
        <v>#VALUE!</v>
      </c>
      <c r="AR75" s="273"/>
      <c r="AS75" s="273" t="e">
        <f t="shared" ca="1" si="4"/>
        <v>#DIV/0!</v>
      </c>
      <c r="AT75" s="273"/>
      <c r="AU75" s="273"/>
      <c r="AV75" s="273"/>
      <c r="AW75" s="273"/>
      <c r="AX75" s="273"/>
      <c r="AY75" s="273"/>
      <c r="AZ75" s="273"/>
      <c r="BA75" s="273"/>
      <c r="BB75" s="273"/>
      <c r="BC75" s="273"/>
      <c r="BD75" s="273"/>
      <c r="BE75" s="273"/>
    </row>
    <row r="76" spans="1:57" x14ac:dyDescent="0.3">
      <c r="A76" s="273"/>
      <c r="B76" s="273"/>
      <c r="C76" s="273"/>
      <c r="D76" s="273"/>
      <c r="E76" s="273"/>
      <c r="F76" s="273"/>
      <c r="G76" s="273"/>
      <c r="H76" s="273"/>
      <c r="I76" s="273"/>
      <c r="J76" s="273"/>
      <c r="K76" s="273"/>
      <c r="L76" s="273"/>
      <c r="M76" s="273"/>
      <c r="N76" s="273"/>
      <c r="O76" s="273"/>
      <c r="P76" s="273"/>
      <c r="Q76" s="273"/>
      <c r="R76" s="273"/>
      <c r="S76" s="273"/>
      <c r="T76" s="273"/>
      <c r="U76" s="273"/>
      <c r="V76" s="273"/>
      <c r="W76" s="273"/>
      <c r="X76" s="273"/>
      <c r="Y76" s="273"/>
      <c r="Z76" s="273"/>
      <c r="AA76" s="273">
        <f ca="1">Ануїтетна_графік_Авто!G77</f>
        <v>48403</v>
      </c>
      <c r="AB76" s="273">
        <f t="shared" si="2"/>
        <v>73</v>
      </c>
      <c r="AC76" s="273"/>
      <c r="AD76" s="273" t="e">
        <f ca="1">Ануїтетна_графік_Авто!J77</f>
        <v>#VALUE!</v>
      </c>
      <c r="AE76" s="273"/>
      <c r="AF76" s="273" t="e">
        <f ca="1">Ануїтетна_графік_Авто!K77</f>
        <v>#VALUE!</v>
      </c>
      <c r="AG76" s="273"/>
      <c r="AH76" s="273" t="e">
        <f ca="1">Ануїтетна_графік_Авто!M77</f>
        <v>#VALUE!</v>
      </c>
      <c r="AI76" s="273"/>
      <c r="AJ76" s="273">
        <f t="shared" ca="1" si="3"/>
        <v>48426</v>
      </c>
      <c r="AK76" s="273">
        <v>73</v>
      </c>
      <c r="AL76" s="273"/>
      <c r="AM76" s="273" t="e">
        <f ca="1">Ануїтетна_графік_Авто!J77</f>
        <v>#VALUE!</v>
      </c>
      <c r="AN76" s="273"/>
      <c r="AO76" s="273" t="e">
        <f ca="1">Ануїтетна_графік_Авто!K77</f>
        <v>#VALUE!</v>
      </c>
      <c r="AP76" s="273"/>
      <c r="AQ76" s="273" t="e">
        <f ca="1">Ануїтетна_графік_Авто!M77</f>
        <v>#VALUE!</v>
      </c>
      <c r="AR76" s="273"/>
      <c r="AS76" s="273" t="e">
        <f t="shared" ca="1" si="4"/>
        <v>#DIV/0!</v>
      </c>
      <c r="AT76" s="273"/>
      <c r="AU76" s="273"/>
      <c r="AV76" s="273"/>
      <c r="AW76" s="273"/>
      <c r="AX76" s="273"/>
      <c r="AY76" s="273"/>
      <c r="AZ76" s="273"/>
      <c r="BA76" s="273"/>
      <c r="BB76" s="273"/>
      <c r="BC76" s="273"/>
      <c r="BD76" s="273"/>
      <c r="BE76" s="273"/>
    </row>
    <row r="77" spans="1:57" x14ac:dyDescent="0.3">
      <c r="A77" s="273"/>
      <c r="B77" s="273"/>
      <c r="C77" s="273"/>
      <c r="D77" s="273"/>
      <c r="E77" s="273"/>
      <c r="F77" s="273"/>
      <c r="G77" s="273"/>
      <c r="H77" s="273"/>
      <c r="I77" s="273"/>
      <c r="J77" s="273"/>
      <c r="K77" s="273"/>
      <c r="L77" s="273"/>
      <c r="M77" s="273"/>
      <c r="N77" s="273"/>
      <c r="O77" s="273"/>
      <c r="P77" s="273"/>
      <c r="Q77" s="273"/>
      <c r="R77" s="273"/>
      <c r="S77" s="273"/>
      <c r="T77" s="273"/>
      <c r="U77" s="273"/>
      <c r="V77" s="273"/>
      <c r="W77" s="273"/>
      <c r="X77" s="273"/>
      <c r="Y77" s="273"/>
      <c r="Z77" s="273"/>
      <c r="AA77" s="273">
        <f ca="1">Ануїтетна_графік_Авто!G78</f>
        <v>48434</v>
      </c>
      <c r="AB77" s="273">
        <f t="shared" si="2"/>
        <v>74</v>
      </c>
      <c r="AC77" s="273"/>
      <c r="AD77" s="273" t="e">
        <f ca="1">Ануїтетна_графік_Авто!J78</f>
        <v>#VALUE!</v>
      </c>
      <c r="AE77" s="273"/>
      <c r="AF77" s="273" t="e">
        <f ca="1">Ануїтетна_графік_Авто!K78</f>
        <v>#VALUE!</v>
      </c>
      <c r="AG77" s="273"/>
      <c r="AH77" s="273" t="e">
        <f ca="1">Ануїтетна_графік_Авто!M78</f>
        <v>#VALUE!</v>
      </c>
      <c r="AI77" s="273"/>
      <c r="AJ77" s="273">
        <f t="shared" ca="1" si="3"/>
        <v>48457</v>
      </c>
      <c r="AK77" s="273">
        <v>74</v>
      </c>
      <c r="AL77" s="273"/>
      <c r="AM77" s="273" t="e">
        <f ca="1">Ануїтетна_графік_Авто!J78</f>
        <v>#VALUE!</v>
      </c>
      <c r="AN77" s="273"/>
      <c r="AO77" s="273" t="e">
        <f ca="1">Ануїтетна_графік_Авто!K78</f>
        <v>#VALUE!</v>
      </c>
      <c r="AP77" s="273"/>
      <c r="AQ77" s="273" t="e">
        <f ca="1">Ануїтетна_графік_Авто!M78</f>
        <v>#VALUE!</v>
      </c>
      <c r="AR77" s="273"/>
      <c r="AS77" s="273" t="e">
        <f t="shared" ca="1" si="4"/>
        <v>#DIV/0!</v>
      </c>
      <c r="AT77" s="273"/>
      <c r="AU77" s="273"/>
      <c r="AV77" s="273"/>
      <c r="AW77" s="273"/>
      <c r="AX77" s="273"/>
      <c r="AY77" s="273"/>
      <c r="AZ77" s="273"/>
      <c r="BA77" s="273"/>
      <c r="BB77" s="273"/>
      <c r="BC77" s="273"/>
      <c r="BD77" s="273"/>
      <c r="BE77" s="273"/>
    </row>
    <row r="78" spans="1:57" x14ac:dyDescent="0.3">
      <c r="A78" s="273"/>
      <c r="B78" s="273"/>
      <c r="C78" s="273"/>
      <c r="D78" s="273"/>
      <c r="E78" s="273"/>
      <c r="F78" s="273"/>
      <c r="G78" s="273"/>
      <c r="H78" s="273"/>
      <c r="I78" s="273"/>
      <c r="J78" s="273"/>
      <c r="K78" s="273"/>
      <c r="L78" s="273"/>
      <c r="M78" s="273"/>
      <c r="N78" s="273"/>
      <c r="O78" s="273"/>
      <c r="P78" s="273"/>
      <c r="Q78" s="273"/>
      <c r="R78" s="273"/>
      <c r="S78" s="273"/>
      <c r="T78" s="273"/>
      <c r="U78" s="273"/>
      <c r="V78" s="273"/>
      <c r="W78" s="273"/>
      <c r="X78" s="273"/>
      <c r="Y78" s="273"/>
      <c r="Z78" s="273"/>
      <c r="AA78" s="273">
        <f ca="1">Ануїтетна_графік_Авто!G79</f>
        <v>48465</v>
      </c>
      <c r="AB78" s="273">
        <f t="shared" si="2"/>
        <v>75</v>
      </c>
      <c r="AC78" s="273"/>
      <c r="AD78" s="273" t="e">
        <f ca="1">Ануїтетна_графік_Авто!J79</f>
        <v>#VALUE!</v>
      </c>
      <c r="AE78" s="273"/>
      <c r="AF78" s="273" t="e">
        <f ca="1">Ануїтетна_графік_Авто!K79</f>
        <v>#VALUE!</v>
      </c>
      <c r="AG78" s="273"/>
      <c r="AH78" s="273" t="e">
        <f ca="1">Ануїтетна_графік_Авто!M79</f>
        <v>#VALUE!</v>
      </c>
      <c r="AI78" s="273"/>
      <c r="AJ78" s="273">
        <f t="shared" ca="1" si="3"/>
        <v>48487</v>
      </c>
      <c r="AK78" s="273">
        <v>75</v>
      </c>
      <c r="AL78" s="273"/>
      <c r="AM78" s="273" t="e">
        <f ca="1">Ануїтетна_графік_Авто!J79</f>
        <v>#VALUE!</v>
      </c>
      <c r="AN78" s="273"/>
      <c r="AO78" s="273" t="e">
        <f ca="1">Ануїтетна_графік_Авто!K79</f>
        <v>#VALUE!</v>
      </c>
      <c r="AP78" s="273"/>
      <c r="AQ78" s="273" t="e">
        <f ca="1">Ануїтетна_графік_Авто!M79</f>
        <v>#VALUE!</v>
      </c>
      <c r="AR78" s="273"/>
      <c r="AS78" s="273" t="e">
        <f t="shared" ca="1" si="4"/>
        <v>#DIV/0!</v>
      </c>
      <c r="AT78" s="273"/>
      <c r="AU78" s="273"/>
      <c r="AV78" s="273"/>
      <c r="AW78" s="273"/>
      <c r="AX78" s="273"/>
      <c r="AY78" s="273"/>
      <c r="AZ78" s="273"/>
      <c r="BA78" s="273"/>
      <c r="BB78" s="273"/>
      <c r="BC78" s="273"/>
      <c r="BD78" s="273"/>
      <c r="BE78" s="273"/>
    </row>
    <row r="79" spans="1:57" x14ac:dyDescent="0.3">
      <c r="A79" s="273"/>
      <c r="B79" s="273"/>
      <c r="C79" s="273"/>
      <c r="D79" s="273"/>
      <c r="E79" s="273"/>
      <c r="F79" s="273"/>
      <c r="G79" s="273"/>
      <c r="H79" s="273"/>
      <c r="I79" s="273"/>
      <c r="J79" s="273"/>
      <c r="K79" s="273"/>
      <c r="L79" s="273"/>
      <c r="M79" s="273"/>
      <c r="N79" s="273"/>
      <c r="O79" s="273"/>
      <c r="P79" s="273"/>
      <c r="Q79" s="273"/>
      <c r="R79" s="273"/>
      <c r="S79" s="273"/>
      <c r="T79" s="273"/>
      <c r="U79" s="273"/>
      <c r="V79" s="273"/>
      <c r="W79" s="273"/>
      <c r="X79" s="273"/>
      <c r="Y79" s="273"/>
      <c r="Z79" s="273"/>
      <c r="AA79" s="273">
        <f ca="1">Ануїтетна_графік_Авто!G80</f>
        <v>48495</v>
      </c>
      <c r="AB79" s="273">
        <f>AB78+1</f>
        <v>76</v>
      </c>
      <c r="AC79" s="273"/>
      <c r="AD79" s="273" t="e">
        <f ca="1">Ануїтетна_графік_Авто!J80</f>
        <v>#VALUE!</v>
      </c>
      <c r="AE79" s="273"/>
      <c r="AF79" s="273" t="e">
        <f ca="1">Ануїтетна_графік_Авто!K80</f>
        <v>#VALUE!</v>
      </c>
      <c r="AG79" s="273"/>
      <c r="AH79" s="273" t="e">
        <f ca="1">Ануїтетна_графік_Авто!M80</f>
        <v>#VALUE!</v>
      </c>
      <c r="AI79" s="273"/>
      <c r="AJ79" s="273">
        <f t="shared" ca="1" si="3"/>
        <v>48518</v>
      </c>
      <c r="AK79" s="273">
        <v>76</v>
      </c>
      <c r="AL79" s="273"/>
      <c r="AM79" s="273" t="e">
        <f ca="1">Ануїтетна_графік_Авто!J80</f>
        <v>#VALUE!</v>
      </c>
      <c r="AN79" s="273"/>
      <c r="AO79" s="273" t="e">
        <f ca="1">Ануїтетна_графік_Авто!K80</f>
        <v>#VALUE!</v>
      </c>
      <c r="AP79" s="273"/>
      <c r="AQ79" s="273" t="e">
        <f ca="1">Ануїтетна_графік_Авто!M80</f>
        <v>#VALUE!</v>
      </c>
      <c r="AR79" s="273"/>
      <c r="AS79" s="273" t="e">
        <f t="shared" ca="1" si="4"/>
        <v>#DIV/0!</v>
      </c>
      <c r="AT79" s="273"/>
      <c r="AU79" s="273"/>
      <c r="AV79" s="273"/>
      <c r="AW79" s="273"/>
      <c r="AX79" s="273"/>
      <c r="AY79" s="273"/>
      <c r="AZ79" s="273"/>
      <c r="BA79" s="273"/>
      <c r="BB79" s="273"/>
      <c r="BC79" s="273"/>
      <c r="BD79" s="273"/>
      <c r="BE79" s="273"/>
    </row>
    <row r="80" spans="1:57" x14ac:dyDescent="0.3">
      <c r="A80" s="273"/>
      <c r="B80" s="273"/>
      <c r="C80" s="273"/>
      <c r="D80" s="273"/>
      <c r="E80" s="273"/>
      <c r="F80" s="273"/>
      <c r="G80" s="273"/>
      <c r="H80" s="273"/>
      <c r="I80" s="273"/>
      <c r="J80" s="273"/>
      <c r="K80" s="273"/>
      <c r="L80" s="273"/>
      <c r="M80" s="273"/>
      <c r="N80" s="273"/>
      <c r="O80" s="273"/>
      <c r="P80" s="273"/>
      <c r="Q80" s="273"/>
      <c r="R80" s="273"/>
      <c r="S80" s="273"/>
      <c r="T80" s="273"/>
      <c r="U80" s="273"/>
      <c r="V80" s="273"/>
      <c r="W80" s="273"/>
      <c r="X80" s="273"/>
      <c r="Y80" s="273"/>
      <c r="Z80" s="273"/>
      <c r="AA80" s="273">
        <f ca="1">Ануїтетна_графік_Авто!G81</f>
        <v>48526</v>
      </c>
      <c r="AB80" s="273">
        <f t="shared" ref="AB80:AB88" si="5">AB79+1</f>
        <v>77</v>
      </c>
      <c r="AC80" s="273"/>
      <c r="AD80" s="273" t="e">
        <f ca="1">Ануїтетна_графік_Авто!J81</f>
        <v>#VALUE!</v>
      </c>
      <c r="AE80" s="273"/>
      <c r="AF80" s="273" t="e">
        <f ca="1">Ануїтетна_графік_Авто!K81</f>
        <v>#VALUE!</v>
      </c>
      <c r="AG80" s="273"/>
      <c r="AH80" s="273" t="e">
        <f ca="1">Ануїтетна_графік_Авто!M81</f>
        <v>#VALUE!</v>
      </c>
      <c r="AI80" s="273"/>
      <c r="AJ80" s="273">
        <f t="shared" ca="1" si="3"/>
        <v>48548</v>
      </c>
      <c r="AK80" s="273">
        <v>77</v>
      </c>
      <c r="AL80" s="273"/>
      <c r="AM80" s="273" t="e">
        <f ca="1">Ануїтетна_графік_Авто!J81</f>
        <v>#VALUE!</v>
      </c>
      <c r="AN80" s="273"/>
      <c r="AO80" s="273" t="e">
        <f ca="1">Ануїтетна_графік_Авто!K81</f>
        <v>#VALUE!</v>
      </c>
      <c r="AP80" s="273"/>
      <c r="AQ80" s="273" t="e">
        <f ca="1">Ануїтетна_графік_Авто!M81</f>
        <v>#VALUE!</v>
      </c>
      <c r="AR80" s="273"/>
      <c r="AS80" s="273" t="e">
        <f t="shared" ca="1" si="4"/>
        <v>#DIV/0!</v>
      </c>
      <c r="AT80" s="273"/>
      <c r="AU80" s="273"/>
      <c r="AV80" s="273"/>
      <c r="AW80" s="273"/>
      <c r="AX80" s="273"/>
      <c r="AY80" s="273"/>
      <c r="AZ80" s="273"/>
      <c r="BA80" s="273"/>
      <c r="BB80" s="273"/>
      <c r="BC80" s="273"/>
      <c r="BD80" s="273"/>
      <c r="BE80" s="273"/>
    </row>
    <row r="81" spans="1:57" x14ac:dyDescent="0.3">
      <c r="A81" s="273"/>
      <c r="B81" s="273"/>
      <c r="C81" s="273"/>
      <c r="D81" s="273"/>
      <c r="E81" s="273"/>
      <c r="F81" s="273"/>
      <c r="G81" s="273"/>
      <c r="H81" s="273"/>
      <c r="I81" s="273"/>
      <c r="J81" s="273"/>
      <c r="K81" s="273"/>
      <c r="L81" s="273"/>
      <c r="M81" s="273"/>
      <c r="N81" s="273"/>
      <c r="O81" s="273"/>
      <c r="P81" s="273"/>
      <c r="Q81" s="273"/>
      <c r="R81" s="273"/>
      <c r="S81" s="273"/>
      <c r="T81" s="273"/>
      <c r="U81" s="273"/>
      <c r="V81" s="273"/>
      <c r="W81" s="273"/>
      <c r="X81" s="273"/>
      <c r="Y81" s="273"/>
      <c r="Z81" s="273"/>
      <c r="AA81" s="273">
        <f ca="1">Ануїтетна_графік_Авто!G82</f>
        <v>48556</v>
      </c>
      <c r="AB81" s="273">
        <f t="shared" si="5"/>
        <v>78</v>
      </c>
      <c r="AC81" s="273"/>
      <c r="AD81" s="273" t="e">
        <f ca="1">Ануїтетна_графік_Авто!J82</f>
        <v>#VALUE!</v>
      </c>
      <c r="AE81" s="273"/>
      <c r="AF81" s="273" t="e">
        <f ca="1">Ануїтетна_графік_Авто!K82</f>
        <v>#VALUE!</v>
      </c>
      <c r="AG81" s="273"/>
      <c r="AH81" s="273" t="e">
        <f ca="1">Ануїтетна_графік_Авто!M82</f>
        <v>#VALUE!</v>
      </c>
      <c r="AI81" s="273"/>
      <c r="AJ81" s="273">
        <f t="shared" ca="1" si="3"/>
        <v>48579</v>
      </c>
      <c r="AK81" s="273">
        <v>78</v>
      </c>
      <c r="AL81" s="273"/>
      <c r="AM81" s="273" t="e">
        <f ca="1">Ануїтетна_графік_Авто!J82</f>
        <v>#VALUE!</v>
      </c>
      <c r="AN81" s="273"/>
      <c r="AO81" s="273" t="e">
        <f ca="1">Ануїтетна_графік_Авто!K82</f>
        <v>#VALUE!</v>
      </c>
      <c r="AP81" s="273"/>
      <c r="AQ81" s="273" t="e">
        <f ca="1">Ануїтетна_графік_Авто!M82</f>
        <v>#VALUE!</v>
      </c>
      <c r="AR81" s="273"/>
      <c r="AS81" s="273" t="e">
        <f t="shared" ca="1" si="4"/>
        <v>#DIV/0!</v>
      </c>
      <c r="AT81" s="273"/>
      <c r="AU81" s="273"/>
      <c r="AV81" s="273"/>
      <c r="AW81" s="273"/>
      <c r="AX81" s="273"/>
      <c r="AY81" s="273"/>
      <c r="AZ81" s="273"/>
      <c r="BA81" s="273"/>
      <c r="BB81" s="273"/>
      <c r="BC81" s="273"/>
      <c r="BD81" s="273"/>
      <c r="BE81" s="273"/>
    </row>
    <row r="82" spans="1:57" x14ac:dyDescent="0.3">
      <c r="A82" s="273"/>
      <c r="B82" s="273"/>
      <c r="C82" s="273"/>
      <c r="D82" s="273"/>
      <c r="E82" s="273"/>
      <c r="F82" s="273"/>
      <c r="G82" s="273"/>
      <c r="H82" s="273"/>
      <c r="I82" s="273"/>
      <c r="J82" s="273"/>
      <c r="K82" s="273"/>
      <c r="L82" s="273"/>
      <c r="M82" s="273"/>
      <c r="N82" s="273"/>
      <c r="O82" s="273"/>
      <c r="P82" s="273"/>
      <c r="Q82" s="273"/>
      <c r="R82" s="273"/>
      <c r="S82" s="273"/>
      <c r="T82" s="273"/>
      <c r="U82" s="273"/>
      <c r="V82" s="273"/>
      <c r="W82" s="273"/>
      <c r="X82" s="273"/>
      <c r="Y82" s="273"/>
      <c r="Z82" s="273"/>
      <c r="AA82" s="273">
        <f ca="1">Ануїтетна_графік_Авто!G83</f>
        <v>48587</v>
      </c>
      <c r="AB82" s="273">
        <f t="shared" si="5"/>
        <v>79</v>
      </c>
      <c r="AC82" s="273"/>
      <c r="AD82" s="273" t="e">
        <f ca="1">Ануїтетна_графік_Авто!J83</f>
        <v>#VALUE!</v>
      </c>
      <c r="AE82" s="273"/>
      <c r="AF82" s="273" t="e">
        <f ca="1">Ануїтетна_графік_Авто!K83</f>
        <v>#VALUE!</v>
      </c>
      <c r="AG82" s="273"/>
      <c r="AH82" s="273" t="e">
        <f ca="1">Ануїтетна_графік_Авто!M83</f>
        <v>#VALUE!</v>
      </c>
      <c r="AI82" s="273"/>
      <c r="AJ82" s="273">
        <f t="shared" ca="1" si="3"/>
        <v>48610</v>
      </c>
      <c r="AK82" s="273">
        <v>79</v>
      </c>
      <c r="AL82" s="273"/>
      <c r="AM82" s="273" t="e">
        <f ca="1">Ануїтетна_графік_Авто!J83</f>
        <v>#VALUE!</v>
      </c>
      <c r="AN82" s="273"/>
      <c r="AO82" s="273" t="e">
        <f ca="1">Ануїтетна_графік_Авто!K83</f>
        <v>#VALUE!</v>
      </c>
      <c r="AP82" s="273"/>
      <c r="AQ82" s="273" t="e">
        <f ca="1">Ануїтетна_графік_Авто!M83</f>
        <v>#VALUE!</v>
      </c>
      <c r="AR82" s="273"/>
      <c r="AS82" s="273" t="e">
        <f t="shared" ca="1" si="4"/>
        <v>#DIV/0!</v>
      </c>
      <c r="AT82" s="273"/>
      <c r="AU82" s="273"/>
      <c r="AV82" s="273"/>
      <c r="AW82" s="273"/>
      <c r="AX82" s="273"/>
      <c r="AY82" s="273"/>
      <c r="AZ82" s="273"/>
      <c r="BA82" s="273"/>
      <c r="BB82" s="273"/>
      <c r="BC82" s="273"/>
      <c r="BD82" s="273"/>
      <c r="BE82" s="273"/>
    </row>
    <row r="83" spans="1:57" x14ac:dyDescent="0.3">
      <c r="A83" s="273"/>
      <c r="B83" s="273"/>
      <c r="C83" s="273"/>
      <c r="D83" s="273"/>
      <c r="E83" s="273"/>
      <c r="F83" s="273"/>
      <c r="G83" s="273"/>
      <c r="H83" s="273"/>
      <c r="I83" s="273"/>
      <c r="J83" s="273"/>
      <c r="K83" s="273"/>
      <c r="L83" s="273"/>
      <c r="M83" s="273"/>
      <c r="N83" s="273"/>
      <c r="O83" s="273"/>
      <c r="P83" s="273"/>
      <c r="Q83" s="273"/>
      <c r="R83" s="273"/>
      <c r="S83" s="273"/>
      <c r="T83" s="273"/>
      <c r="U83" s="273"/>
      <c r="V83" s="273"/>
      <c r="W83" s="273"/>
      <c r="X83" s="273"/>
      <c r="Y83" s="273"/>
      <c r="Z83" s="273"/>
      <c r="AA83" s="273">
        <f ca="1">Ануїтетна_графік_Авто!G84</f>
        <v>48618</v>
      </c>
      <c r="AB83" s="273">
        <f t="shared" si="5"/>
        <v>80</v>
      </c>
      <c r="AC83" s="273"/>
      <c r="AD83" s="273" t="e">
        <f ca="1">Ануїтетна_графік_Авто!J84</f>
        <v>#VALUE!</v>
      </c>
      <c r="AE83" s="273"/>
      <c r="AF83" s="273" t="e">
        <f ca="1">Ануїтетна_графік_Авто!K84</f>
        <v>#VALUE!</v>
      </c>
      <c r="AG83" s="273"/>
      <c r="AH83" s="273" t="e">
        <f ca="1">Ануїтетна_графік_Авто!M84</f>
        <v>#VALUE!</v>
      </c>
      <c r="AI83" s="273"/>
      <c r="AJ83" s="273">
        <f t="shared" ca="1" si="3"/>
        <v>48638</v>
      </c>
      <c r="AK83" s="273">
        <v>80</v>
      </c>
      <c r="AL83" s="273"/>
      <c r="AM83" s="273" t="e">
        <f ca="1">Ануїтетна_графік_Авто!J84</f>
        <v>#VALUE!</v>
      </c>
      <c r="AN83" s="273"/>
      <c r="AO83" s="273" t="e">
        <f ca="1">Ануїтетна_графік_Авто!K84</f>
        <v>#VALUE!</v>
      </c>
      <c r="AP83" s="273"/>
      <c r="AQ83" s="273" t="e">
        <f ca="1">Ануїтетна_графік_Авто!M84</f>
        <v>#VALUE!</v>
      </c>
      <c r="AR83" s="273"/>
      <c r="AS83" s="273" t="e">
        <f t="shared" ca="1" si="4"/>
        <v>#DIV/0!</v>
      </c>
      <c r="AT83" s="273"/>
      <c r="AU83" s="273"/>
      <c r="AV83" s="273"/>
      <c r="AW83" s="273"/>
      <c r="AX83" s="273"/>
      <c r="AY83" s="273"/>
      <c r="AZ83" s="273"/>
      <c r="BA83" s="273"/>
      <c r="BB83" s="273"/>
      <c r="BC83" s="273"/>
      <c r="BD83" s="273"/>
      <c r="BE83" s="273"/>
    </row>
    <row r="84" spans="1:57" x14ac:dyDescent="0.3">
      <c r="A84" s="273"/>
      <c r="B84" s="273"/>
      <c r="C84" s="273"/>
      <c r="D84" s="273"/>
      <c r="E84" s="273"/>
      <c r="F84" s="273"/>
      <c r="G84" s="273"/>
      <c r="H84" s="273"/>
      <c r="I84" s="273"/>
      <c r="J84" s="273"/>
      <c r="K84" s="273"/>
      <c r="L84" s="273"/>
      <c r="M84" s="273"/>
      <c r="N84" s="273"/>
      <c r="O84" s="273"/>
      <c r="P84" s="273"/>
      <c r="Q84" s="273"/>
      <c r="R84" s="273"/>
      <c r="S84" s="273"/>
      <c r="T84" s="273"/>
      <c r="U84" s="273"/>
      <c r="V84" s="273"/>
      <c r="W84" s="273"/>
      <c r="X84" s="273"/>
      <c r="Y84" s="273"/>
      <c r="Z84" s="273"/>
      <c r="AA84" s="273">
        <f ca="1">Ануїтетна_графік_Авто!G85</f>
        <v>48646</v>
      </c>
      <c r="AB84" s="273">
        <f t="shared" si="5"/>
        <v>81</v>
      </c>
      <c r="AC84" s="273"/>
      <c r="AD84" s="273" t="e">
        <f ca="1">Ануїтетна_графік_Авто!J85</f>
        <v>#VALUE!</v>
      </c>
      <c r="AE84" s="273"/>
      <c r="AF84" s="273" t="e">
        <f ca="1">Ануїтетна_графік_Авто!K85</f>
        <v>#VALUE!</v>
      </c>
      <c r="AG84" s="273"/>
      <c r="AH84" s="273" t="e">
        <f ca="1">Ануїтетна_графік_Авто!M85</f>
        <v>#VALUE!</v>
      </c>
      <c r="AI84" s="273"/>
      <c r="AJ84" s="273">
        <f t="shared" ca="1" si="3"/>
        <v>48669</v>
      </c>
      <c r="AK84" s="273">
        <v>81</v>
      </c>
      <c r="AL84" s="273"/>
      <c r="AM84" s="273" t="e">
        <f ca="1">Ануїтетна_графік_Авто!J85</f>
        <v>#VALUE!</v>
      </c>
      <c r="AN84" s="273"/>
      <c r="AO84" s="273" t="e">
        <f ca="1">Ануїтетна_графік_Авто!K85</f>
        <v>#VALUE!</v>
      </c>
      <c r="AP84" s="273"/>
      <c r="AQ84" s="273" t="e">
        <f ca="1">Ануїтетна_графік_Авто!M85</f>
        <v>#VALUE!</v>
      </c>
      <c r="AR84" s="273"/>
      <c r="AS84" s="273" t="e">
        <f t="shared" ca="1" si="4"/>
        <v>#DIV/0!</v>
      </c>
      <c r="AT84" s="273"/>
      <c r="AU84" s="273"/>
      <c r="AV84" s="273"/>
      <c r="AW84" s="273"/>
      <c r="AX84" s="273"/>
      <c r="AY84" s="273"/>
      <c r="AZ84" s="273"/>
      <c r="BA84" s="273"/>
      <c r="BB84" s="273"/>
      <c r="BC84" s="273"/>
      <c r="BD84" s="273"/>
      <c r="BE84" s="273"/>
    </row>
    <row r="85" spans="1:57" x14ac:dyDescent="0.3">
      <c r="A85" s="273"/>
      <c r="B85" s="273"/>
      <c r="C85" s="273"/>
      <c r="D85" s="273"/>
      <c r="E85" s="273"/>
      <c r="F85" s="273"/>
      <c r="G85" s="273"/>
      <c r="H85" s="273"/>
      <c r="I85" s="273"/>
      <c r="J85" s="273"/>
      <c r="K85" s="273"/>
      <c r="L85" s="273"/>
      <c r="M85" s="273"/>
      <c r="N85" s="273"/>
      <c r="O85" s="273"/>
      <c r="P85" s="273"/>
      <c r="Q85" s="273"/>
      <c r="R85" s="273"/>
      <c r="S85" s="273"/>
      <c r="T85" s="273"/>
      <c r="U85" s="273"/>
      <c r="V85" s="273"/>
      <c r="W85" s="273"/>
      <c r="X85" s="273"/>
      <c r="Y85" s="273"/>
      <c r="Z85" s="273"/>
      <c r="AA85" s="273">
        <f ca="1">Ануїтетна_графік_Авто!G86</f>
        <v>48677</v>
      </c>
      <c r="AB85" s="273">
        <f t="shared" si="5"/>
        <v>82</v>
      </c>
      <c r="AC85" s="273"/>
      <c r="AD85" s="273" t="e">
        <f ca="1">Ануїтетна_графік_Авто!J86</f>
        <v>#VALUE!</v>
      </c>
      <c r="AE85" s="273"/>
      <c r="AF85" s="273" t="e">
        <f ca="1">Ануїтетна_графік_Авто!K86</f>
        <v>#VALUE!</v>
      </c>
      <c r="AG85" s="273"/>
      <c r="AH85" s="273" t="e">
        <f ca="1">Ануїтетна_графік_Авто!M86</f>
        <v>#VALUE!</v>
      </c>
      <c r="AI85" s="273"/>
      <c r="AJ85" s="273">
        <f t="shared" ca="1" si="3"/>
        <v>48699</v>
      </c>
      <c r="AK85" s="273">
        <v>82</v>
      </c>
      <c r="AL85" s="273"/>
      <c r="AM85" s="273" t="e">
        <f ca="1">Ануїтетна_графік_Авто!J86</f>
        <v>#VALUE!</v>
      </c>
      <c r="AN85" s="273"/>
      <c r="AO85" s="273" t="e">
        <f ca="1">Ануїтетна_графік_Авто!K86</f>
        <v>#VALUE!</v>
      </c>
      <c r="AP85" s="273"/>
      <c r="AQ85" s="273" t="e">
        <f ca="1">Ануїтетна_графік_Авто!M86</f>
        <v>#VALUE!</v>
      </c>
      <c r="AR85" s="273"/>
      <c r="AS85" s="273" t="e">
        <f t="shared" ca="1" si="4"/>
        <v>#DIV/0!</v>
      </c>
      <c r="AT85" s="273"/>
      <c r="AU85" s="273"/>
      <c r="AV85" s="273"/>
      <c r="AW85" s="273"/>
      <c r="AX85" s="273"/>
      <c r="AY85" s="273"/>
      <c r="AZ85" s="273"/>
      <c r="BA85" s="273"/>
      <c r="BB85" s="273"/>
      <c r="BC85" s="273"/>
      <c r="BD85" s="273"/>
      <c r="BE85" s="273"/>
    </row>
    <row r="86" spans="1:57" x14ac:dyDescent="0.3">
      <c r="A86" s="273"/>
      <c r="B86" s="273"/>
      <c r="C86" s="273"/>
      <c r="D86" s="273"/>
      <c r="E86" s="273"/>
      <c r="F86" s="273"/>
      <c r="G86" s="273"/>
      <c r="H86" s="273"/>
      <c r="I86" s="273"/>
      <c r="J86" s="273"/>
      <c r="K86" s="273"/>
      <c r="L86" s="273"/>
      <c r="M86" s="273"/>
      <c r="N86" s="273"/>
      <c r="O86" s="273"/>
      <c r="P86" s="273"/>
      <c r="Q86" s="273"/>
      <c r="R86" s="273"/>
      <c r="S86" s="273"/>
      <c r="T86" s="273"/>
      <c r="U86" s="273"/>
      <c r="V86" s="273"/>
      <c r="W86" s="273"/>
      <c r="X86" s="273"/>
      <c r="Y86" s="273"/>
      <c r="Z86" s="273"/>
      <c r="AA86" s="273">
        <f ca="1">Ануїтетна_графік_Авто!G87</f>
        <v>48707</v>
      </c>
      <c r="AB86" s="273">
        <f t="shared" si="5"/>
        <v>83</v>
      </c>
      <c r="AC86" s="273"/>
      <c r="AD86" s="273" t="e">
        <f ca="1">Ануїтетна_графік_Авто!J87</f>
        <v>#VALUE!</v>
      </c>
      <c r="AE86" s="273"/>
      <c r="AF86" s="273" t="e">
        <f ca="1">Ануїтетна_графік_Авто!K87</f>
        <v>#VALUE!</v>
      </c>
      <c r="AG86" s="273"/>
      <c r="AH86" s="273" t="e">
        <f ca="1">Ануїтетна_графік_Авто!M87</f>
        <v>#VALUE!</v>
      </c>
      <c r="AI86" s="273"/>
      <c r="AJ86" s="273">
        <f t="shared" ca="1" si="3"/>
        <v>48730</v>
      </c>
      <c r="AK86" s="273">
        <v>83</v>
      </c>
      <c r="AL86" s="273"/>
      <c r="AM86" s="273" t="e">
        <f ca="1">Ануїтетна_графік_Авто!J87</f>
        <v>#VALUE!</v>
      </c>
      <c r="AN86" s="273"/>
      <c r="AO86" s="273" t="e">
        <f ca="1">Ануїтетна_графік_Авто!K87</f>
        <v>#VALUE!</v>
      </c>
      <c r="AP86" s="273"/>
      <c r="AQ86" s="273" t="e">
        <f ca="1">Ануїтетна_графік_Авто!M87</f>
        <v>#VALUE!</v>
      </c>
      <c r="AR86" s="273"/>
      <c r="AS86" s="273" t="e">
        <f t="shared" ca="1" si="4"/>
        <v>#DIV/0!</v>
      </c>
      <c r="AT86" s="273"/>
      <c r="AU86" s="273"/>
      <c r="AV86" s="273"/>
      <c r="AW86" s="273"/>
      <c r="AX86" s="273"/>
      <c r="AY86" s="273"/>
      <c r="AZ86" s="273"/>
      <c r="BA86" s="273"/>
      <c r="BB86" s="273"/>
      <c r="BC86" s="273"/>
      <c r="BD86" s="273"/>
      <c r="BE86" s="273"/>
    </row>
    <row r="87" spans="1:57" x14ac:dyDescent="0.3">
      <c r="A87" s="273"/>
      <c r="B87" s="273"/>
      <c r="C87" s="273"/>
      <c r="D87" s="273"/>
      <c r="E87" s="273"/>
      <c r="F87" s="273"/>
      <c r="G87" s="273"/>
      <c r="H87" s="273"/>
      <c r="I87" s="273"/>
      <c r="J87" s="273"/>
      <c r="K87" s="273"/>
      <c r="L87" s="273"/>
      <c r="M87" s="273"/>
      <c r="N87" s="273"/>
      <c r="O87" s="273"/>
      <c r="P87" s="273"/>
      <c r="Q87" s="273"/>
      <c r="R87" s="273"/>
      <c r="S87" s="273"/>
      <c r="T87" s="273"/>
      <c r="U87" s="273"/>
      <c r="V87" s="273"/>
      <c r="W87" s="273"/>
      <c r="X87" s="273"/>
      <c r="Y87" s="273"/>
      <c r="Z87" s="273"/>
      <c r="AA87" s="273">
        <f ca="1">Ануїтетна_графік_Авто!G88</f>
        <v>48738</v>
      </c>
      <c r="AB87" s="273">
        <f>AB86+1</f>
        <v>84</v>
      </c>
      <c r="AC87" s="273"/>
      <c r="AD87" s="273" t="e">
        <f ca="1">Ануїтетна_графік_Авто!J88</f>
        <v>#VALUE!</v>
      </c>
      <c r="AE87" s="273"/>
      <c r="AF87" s="273" t="e">
        <f ca="1">Ануїтетна_графік_Авто!K88</f>
        <v>#VALUE!</v>
      </c>
      <c r="AG87" s="273"/>
      <c r="AH87" s="273" t="e">
        <f ca="1">Ануїтетна_графік_Авто!M88</f>
        <v>#VALUE!</v>
      </c>
      <c r="AI87" s="273"/>
      <c r="AJ87" s="273">
        <f t="shared" ca="1" si="3"/>
        <v>48760</v>
      </c>
      <c r="AK87" s="273">
        <v>84</v>
      </c>
      <c r="AL87" s="273"/>
      <c r="AM87" s="273" t="e">
        <f ca="1">Ануїтетна_графік_Авто!J88</f>
        <v>#VALUE!</v>
      </c>
      <c r="AN87" s="273"/>
      <c r="AO87" s="273" t="e">
        <f ca="1">Ануїтетна_графік_Авто!K88</f>
        <v>#VALUE!</v>
      </c>
      <c r="AP87" s="273"/>
      <c r="AQ87" s="273" t="e">
        <f ca="1">Ануїтетна_графік_Авто!M88</f>
        <v>#VALUE!</v>
      </c>
      <c r="AR87" s="273"/>
      <c r="AS87" s="273" t="e">
        <f t="shared" ca="1" si="4"/>
        <v>#DIV/0!</v>
      </c>
      <c r="AT87" s="273"/>
      <c r="AU87" s="273"/>
      <c r="AV87" s="273"/>
      <c r="AW87" s="273"/>
      <c r="AX87" s="273"/>
      <c r="AY87" s="273"/>
      <c r="AZ87" s="273"/>
      <c r="BA87" s="273"/>
      <c r="BB87" s="273"/>
      <c r="BC87" s="273"/>
      <c r="BD87" s="273"/>
      <c r="BE87" s="273"/>
    </row>
    <row r="88" spans="1:57" x14ac:dyDescent="0.3">
      <c r="A88" s="273"/>
      <c r="B88" s="273"/>
      <c r="C88" s="273"/>
      <c r="D88" s="273"/>
      <c r="E88" s="273"/>
      <c r="F88" s="273"/>
      <c r="G88" s="273"/>
      <c r="H88" s="273"/>
      <c r="I88" s="273"/>
      <c r="J88" s="273"/>
      <c r="K88" s="273"/>
      <c r="L88" s="273"/>
      <c r="M88" s="273"/>
      <c r="N88" s="273"/>
      <c r="O88" s="273"/>
      <c r="P88" s="273"/>
      <c r="Q88" s="273"/>
      <c r="R88" s="273"/>
      <c r="S88" s="273"/>
      <c r="T88" s="273"/>
      <c r="U88" s="273"/>
      <c r="V88" s="273"/>
      <c r="W88" s="273"/>
      <c r="X88" s="273"/>
      <c r="Y88" s="273"/>
      <c r="Z88" s="273"/>
      <c r="AA88" s="273">
        <f ca="1">Ануїтетна_графік_Авто!G89</f>
        <v>48768</v>
      </c>
      <c r="AB88" s="273">
        <f t="shared" si="5"/>
        <v>85</v>
      </c>
      <c r="AC88" s="273"/>
      <c r="AD88" s="273" t="e">
        <f ca="1">Ануїтетна_графік_Авто!J89</f>
        <v>#VALUE!</v>
      </c>
      <c r="AE88" s="273"/>
      <c r="AF88" s="273" t="e">
        <f ca="1">Ануїтетна_графік_Авто!K89</f>
        <v>#VALUE!</v>
      </c>
      <c r="AG88" s="273"/>
      <c r="AH88" s="273" t="e">
        <f ca="1">Ануїтетна_графік_Авто!M89</f>
        <v>#VALUE!</v>
      </c>
      <c r="AI88" s="273"/>
      <c r="AJ88" s="273">
        <f t="shared" ca="1" si="3"/>
        <v>48791</v>
      </c>
      <c r="AK88" s="273">
        <v>85</v>
      </c>
      <c r="AL88" s="273"/>
      <c r="AM88" s="273" t="e">
        <f ca="1">Ануїтетна_графік_Авто!J89</f>
        <v>#VALUE!</v>
      </c>
      <c r="AN88" s="273"/>
      <c r="AO88" s="273" t="e">
        <f ca="1">Ануїтетна_графік_Авто!K89</f>
        <v>#VALUE!</v>
      </c>
      <c r="AP88" s="273"/>
      <c r="AQ88" s="273" t="e">
        <f ca="1">Ануїтетна_графік_Авто!M89</f>
        <v>#VALUE!</v>
      </c>
      <c r="AR88" s="273"/>
      <c r="AS88" s="273" t="e">
        <f t="shared" ca="1" si="4"/>
        <v>#DIV/0!</v>
      </c>
      <c r="AT88" s="273"/>
      <c r="AU88" s="273"/>
      <c r="AV88" s="273"/>
      <c r="AW88" s="273"/>
      <c r="AX88" s="273"/>
      <c r="AY88" s="273"/>
      <c r="AZ88" s="273"/>
      <c r="BA88" s="273"/>
      <c r="BB88" s="273"/>
      <c r="BC88" s="273"/>
      <c r="BD88" s="273"/>
      <c r="BE88" s="273"/>
    </row>
    <row r="89" spans="1:57" x14ac:dyDescent="0.3">
      <c r="AA89" s="160">
        <f ca="1">Ануїтетна_графік_Авто!G90</f>
        <v>48799</v>
      </c>
      <c r="AB89" s="160">
        <f>AB88+1</f>
        <v>86</v>
      </c>
      <c r="AD89" s="160" t="e">
        <f ca="1">Ануїтетна_графік_Авто!J90</f>
        <v>#VALUE!</v>
      </c>
      <c r="AF89" s="160" t="e">
        <f ca="1">Ануїтетна_графік_Авто!K90</f>
        <v>#VALUE!</v>
      </c>
      <c r="AH89" s="160" t="e">
        <f ca="1">Ануїтетна_графік_Авто!M90</f>
        <v>#VALUE!</v>
      </c>
      <c r="AJ89" s="160">
        <f t="shared" ca="1" si="3"/>
        <v>48822</v>
      </c>
      <c r="AK89" s="160">
        <v>86</v>
      </c>
      <c r="AM89" s="160" t="e">
        <f ca="1">Ануїтетна_графік_Авто!J90</f>
        <v>#VALUE!</v>
      </c>
      <c r="AO89" s="160" t="e">
        <f ca="1">Ануїтетна_графік_Авто!K90</f>
        <v>#VALUE!</v>
      </c>
      <c r="AQ89" s="160" t="e">
        <f ca="1">Ануїтетна_графік_Авто!M90</f>
        <v>#VALUE!</v>
      </c>
      <c r="AS89" s="160" t="e">
        <f t="shared" ca="1" si="4"/>
        <v>#DIV/0!</v>
      </c>
    </row>
    <row r="90" spans="1:57" x14ac:dyDescent="0.3">
      <c r="AB90" s="160" t="s">
        <v>454</v>
      </c>
      <c r="AD90" s="160" t="e">
        <f ca="1">Ануїтетна_графік_Авто!J91</f>
        <v>#VALUE!</v>
      </c>
      <c r="AF90" s="160" t="e">
        <f ca="1">Ануїтетна_графік_Авто!K91</f>
        <v>#VALUE!</v>
      </c>
      <c r="AH90" s="160" t="e">
        <f ca="1">Ануїтетна_графік_Авто!M91</f>
        <v>#VALUE!</v>
      </c>
      <c r="AK90" s="160" t="s">
        <v>454</v>
      </c>
      <c r="AM90" s="160" t="e">
        <f ca="1">Ануїтетна_графік_Авто!J91</f>
        <v>#VALUE!</v>
      </c>
      <c r="AO90" s="160" t="e">
        <f ca="1">Ануїтетна_графік_Авто!K91</f>
        <v>#VALUE!</v>
      </c>
      <c r="AQ90" s="160" t="e">
        <f ca="1">Ануїтетна_графік_Авто!M91</f>
        <v>#VALUE!</v>
      </c>
    </row>
  </sheetData>
  <phoneticPr fontId="6" type="noConversion"/>
  <conditionalFormatting sqref="C112">
    <cfRule type="containsText" dxfId="8" priority="1" operator="containsText" text="Поручитель неплатоспроможний">
      <formula>NOT(ISERROR(SEARCH("Поручитель неплатоспроможний",C112)))</formula>
    </cfRule>
    <cfRule type="containsText" dxfId="7" priority="2" operator="containsText" text="Поручитель платоспроможний">
      <formula>NOT(ISERROR(SEARCH("Поручитель платоспроможний",C112)))</formula>
    </cfRule>
  </conditionalFormatting>
  <conditionalFormatting sqref="D1">
    <cfRule type="expression" dxfId="6" priority="3">
      <formula>IF(#REF!="Так",FALSE,TRUE)</formula>
    </cfRule>
  </conditionalFormatting>
  <dataValidations disablePrompts="1" count="7">
    <dataValidation type="list" allowBlank="1" showInputMessage="1" showErrorMessage="1"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7BB04F1B-873C-4F15-B1C1-4EE900D9E6CB}">
      <formula1>$Q$12:$Q$13</formula1>
    </dataValidation>
    <dataValidation type="list" allowBlank="1" showInputMessage="1" showErrorMessage="1" sqref="WVV98304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xr:uid="{A65779E3-1209-48B7-87D4-8BAD40C08B5E}">
      <formula1>$Q$2:$Q$8</formula1>
    </dataValidation>
    <dataValidation type="list" allowBlank="1" showInputMessage="1" showErrorMessage="1" sqref="WVV983050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LZ98305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xr:uid="{E7022F91-74B2-458C-8DEC-6722F5FF736B}">
      <formula1>$W$14:$W$15</formula1>
    </dataValidation>
    <dataValidation operator="greaterThan"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xr:uid="{C221C224-D78F-4F27-9139-5B8A6D78E051}"/>
    <dataValidation type="decimal" operator="greaterThan" allowBlank="1" showInputMessage="1"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B4EE41B-25A8-49DA-8698-5CCA8F9A488C}">
      <formula1>0</formula1>
    </dataValidation>
    <dataValidation type="decimal" operator="greaterThanOrEqual" allowBlank="1" showInputMessage="1" showErrorMessage="1" sqref="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xr:uid="{9904FF9A-A8CE-498E-9D14-48B4878CB064}">
      <formula1>0</formula1>
    </dataValidation>
    <dataValidation type="list" allowBlank="1" showInputMessage="1" showErrorMessage="1" sqref="N8" xr:uid="{B8082DB4-83C3-4D7B-9DEC-8C6188A828BE}">
      <formula1>$Q$2:$Q$6</formula1>
    </dataValidation>
  </dataValidations>
  <pageMargins left="0.7" right="0.7" top="0.75" bottom="0.75" header="0.3" footer="0.3"/>
  <pageSetup paperSize="9" scale="48" orientation="portrait" verticalDpi="0"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93" r:id="rId4" name="Button 5">
              <controlPr defaultSize="0" print="0" autoFill="0" autoPict="0" macro="[0]!clean_graph">
                <anchor moveWithCells="1">
                  <from>
                    <xdr:col>11</xdr:col>
                    <xdr:colOff>792480</xdr:colOff>
                    <xdr:row>18</xdr:row>
                    <xdr:rowOff>403860</xdr:rowOff>
                  </from>
                  <to>
                    <xdr:col>16</xdr:col>
                    <xdr:colOff>289560</xdr:colOff>
                    <xdr:row>20</xdr:row>
                    <xdr:rowOff>0</xdr:rowOff>
                  </to>
                </anchor>
              </controlPr>
            </control>
          </mc:Choice>
        </mc:AlternateContent>
        <mc:AlternateContent xmlns:mc="http://schemas.openxmlformats.org/markup-compatibility/2006">
          <mc:Choice Requires="x14">
            <control shapeId="12294" r:id="rId5" name="Button 6">
              <controlPr defaultSize="0" print="0" autoFill="0" autoPict="0" macro="[0]!clean_all_file">
                <anchor moveWithCells="1">
                  <from>
                    <xdr:col>11</xdr:col>
                    <xdr:colOff>792480</xdr:colOff>
                    <xdr:row>17</xdr:row>
                    <xdr:rowOff>228600</xdr:rowOff>
                  </from>
                  <to>
                    <xdr:col>16</xdr:col>
                    <xdr:colOff>289560</xdr:colOff>
                    <xdr:row>19</xdr:row>
                    <xdr:rowOff>0</xdr:rowOff>
                  </to>
                </anchor>
              </controlPr>
            </control>
          </mc:Choice>
        </mc:AlternateContent>
        <mc:AlternateContent xmlns:mc="http://schemas.openxmlformats.org/markup-compatibility/2006">
          <mc:Choice Requires="x14">
            <control shapeId="12303" r:id="rId6" name="Button 15">
              <controlPr defaultSize="0" print="0" autoFill="0" autoPict="0" macro="[0]!Newmack">
                <anchor moveWithCells="1">
                  <from>
                    <xdr:col>7</xdr:col>
                    <xdr:colOff>213360</xdr:colOff>
                    <xdr:row>18</xdr:row>
                    <xdr:rowOff>68580</xdr:rowOff>
                  </from>
                  <to>
                    <xdr:col>11</xdr:col>
                    <xdr:colOff>495300</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3651-74B1-41F9-BEB4-C94309928074}">
  <sheetPr codeName="Аркуш7"/>
  <dimension ref="A1:BD20"/>
  <sheetViews>
    <sheetView topLeftCell="BE1" workbookViewId="0">
      <selection activeCell="BP19" sqref="BP19"/>
    </sheetView>
  </sheetViews>
  <sheetFormatPr defaultColWidth="8.6640625" defaultRowHeight="14.4" x14ac:dyDescent="0.3"/>
  <cols>
    <col min="1" max="2" width="8.6640625" style="160" hidden="1" customWidth="1"/>
    <col min="3" max="3" width="13.33203125" style="160" hidden="1" customWidth="1"/>
    <col min="4" max="4" width="12.33203125" style="160" hidden="1" customWidth="1"/>
    <col min="5" max="9" width="8.6640625" style="160" hidden="1" customWidth="1"/>
    <col min="10" max="19" width="8.6640625" style="186" hidden="1" customWidth="1"/>
    <col min="20" max="56" width="8.6640625" style="160" hidden="1" customWidth="1"/>
    <col min="57" max="70" width="8.6640625" style="160" customWidth="1"/>
    <col min="71" max="16384" width="8.6640625" style="160"/>
  </cols>
  <sheetData>
    <row r="1" spans="1:6" x14ac:dyDescent="0.3">
      <c r="A1" s="160">
        <v>2</v>
      </c>
      <c r="B1" s="158"/>
      <c r="C1" s="159"/>
      <c r="D1" s="159"/>
    </row>
    <row r="2" spans="1:6" x14ac:dyDescent="0.3">
      <c r="B2" s="161" t="s">
        <v>457</v>
      </c>
      <c r="C2" s="162">
        <f>Калькулятор!G4</f>
        <v>0</v>
      </c>
      <c r="D2" s="162"/>
      <c r="E2" s="160" t="s">
        <v>471</v>
      </c>
      <c r="F2" s="160" t="e">
        <f>Ануїтетна_графік_Авто!Y11</f>
        <v>#DIV/0!</v>
      </c>
    </row>
    <row r="3" spans="1:6" x14ac:dyDescent="0.3">
      <c r="C3" s="163"/>
      <c r="D3" s="163"/>
    </row>
    <row r="4" spans="1:6" x14ac:dyDescent="0.3">
      <c r="B4" s="160" t="s">
        <v>469</v>
      </c>
      <c r="C4" s="163">
        <f>C2/6*5</f>
        <v>0</v>
      </c>
      <c r="D4" s="163"/>
      <c r="E4" s="160" t="s">
        <v>472</v>
      </c>
      <c r="F4" s="160" t="b">
        <f>Ануїтетна_графік_Авто!Y10</f>
        <v>0</v>
      </c>
    </row>
    <row r="5" spans="1:6" x14ac:dyDescent="0.3">
      <c r="C5" s="163"/>
      <c r="D5" s="163"/>
    </row>
    <row r="6" spans="1:6" x14ac:dyDescent="0.3">
      <c r="B6" s="160" t="s">
        <v>458</v>
      </c>
      <c r="C6" s="163">
        <v>0.3</v>
      </c>
      <c r="D6" s="163"/>
      <c r="E6" s="160" t="s">
        <v>313</v>
      </c>
      <c r="F6" s="160">
        <f>C2-(C2*C6)</f>
        <v>0</v>
      </c>
    </row>
    <row r="7" spans="1:6" x14ac:dyDescent="0.3">
      <c r="C7" s="163"/>
      <c r="D7" s="163"/>
    </row>
    <row r="8" spans="1:6" x14ac:dyDescent="0.3">
      <c r="B8" s="160" t="s">
        <v>459</v>
      </c>
      <c r="C8" s="163">
        <v>12</v>
      </c>
      <c r="D8" s="163"/>
      <c r="E8" s="160" t="s">
        <v>473</v>
      </c>
      <c r="F8" s="160">
        <f>Ануїтетна_графік_Авто!C32</f>
        <v>33005</v>
      </c>
    </row>
    <row r="9" spans="1:6" x14ac:dyDescent="0.3">
      <c r="C9" s="163"/>
      <c r="D9" s="163"/>
    </row>
    <row r="10" spans="1:6" x14ac:dyDescent="0.3">
      <c r="B10" s="160" t="s">
        <v>460</v>
      </c>
      <c r="C10" s="163">
        <v>5.4899999999999997E-2</v>
      </c>
      <c r="D10" s="163"/>
      <c r="E10" s="160" t="s">
        <v>474</v>
      </c>
      <c r="F10" s="160" t="e">
        <f>Ануїтетна_графік_Авто!Y3</f>
        <v>#DIV/0!</v>
      </c>
    </row>
    <row r="12" spans="1:6" x14ac:dyDescent="0.3">
      <c r="B12" s="161" t="s">
        <v>461</v>
      </c>
      <c r="C12" s="161">
        <v>9.99</v>
      </c>
      <c r="E12" s="160" t="s">
        <v>411</v>
      </c>
      <c r="F12" s="160" t="e">
        <f>Ануїтетна_графік_Авто!Y2</f>
        <v>#DIV/0!</v>
      </c>
    </row>
    <row r="13" spans="1:6" x14ac:dyDescent="0.3">
      <c r="C13" s="163"/>
    </row>
    <row r="14" spans="1:6" x14ac:dyDescent="0.3">
      <c r="B14" s="160" t="s">
        <v>462</v>
      </c>
      <c r="C14" s="163">
        <v>9.9000000000000008E-3</v>
      </c>
      <c r="F14" s="160">
        <v>3875282.8858883367</v>
      </c>
    </row>
    <row r="15" spans="1:6" x14ac:dyDescent="0.3">
      <c r="C15" s="163"/>
    </row>
    <row r="16" spans="1:6" x14ac:dyDescent="0.3">
      <c r="B16" s="160" t="s">
        <v>463</v>
      </c>
      <c r="C16" s="163">
        <v>0</v>
      </c>
      <c r="F16" s="160">
        <v>4256502.5480896216</v>
      </c>
    </row>
    <row r="17" spans="2:3" x14ac:dyDescent="0.3">
      <c r="C17" s="163"/>
    </row>
    <row r="18" spans="2:3" x14ac:dyDescent="0.3">
      <c r="B18" s="160" t="s">
        <v>464</v>
      </c>
      <c r="C18" s="160">
        <f>IF(C4&lt;=499620,C4*3%,IF(C4&lt;=878120,C4*4%,C4*5%))</f>
        <v>0</v>
      </c>
    </row>
    <row r="20" spans="2:3" x14ac:dyDescent="0.3">
      <c r="B20" s="160" t="s">
        <v>465</v>
      </c>
      <c r="C20" s="160">
        <v>0</v>
      </c>
    </row>
  </sheetData>
  <conditionalFormatting sqref="C112">
    <cfRule type="containsText" dxfId="5" priority="1" operator="containsText" text="Поручитель неплатоспроможний">
      <formula>NOT(ISERROR(SEARCH("Поручитель неплатоспроможний",C112)))</formula>
    </cfRule>
    <cfRule type="containsText" dxfId="4" priority="2" operator="containsText" text="Поручитель платоспроможний">
      <formula>NOT(ISERROR(SEARCH("Поручитель платоспроможний",C112)))</formula>
    </cfRule>
  </conditionalFormatting>
  <conditionalFormatting sqref="D1">
    <cfRule type="expression" dxfId="3" priority="3">
      <formula>IF(#REF!="Так",FALSE,TRUE)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7409" r:id="rId3" name="Button 1">
              <controlPr defaultSize="0" print="0" autoFill="0" autoPict="0" macro="[0]!proba_perebudova_2">
                <anchor moveWithCells="1">
                  <from>
                    <xdr:col>9</xdr:col>
                    <xdr:colOff>259080</xdr:colOff>
                    <xdr:row>1</xdr:row>
                    <xdr:rowOff>60960</xdr:rowOff>
                  </from>
                  <to>
                    <xdr:col>59</xdr:col>
                    <xdr:colOff>99060</xdr:colOff>
                    <xdr:row>3</xdr:row>
                    <xdr:rowOff>106680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FF6FF-ACFA-4E80-9787-C5010846AA72}">
  <sheetPr codeName="Аркуш6"/>
  <dimension ref="A1:D112"/>
  <sheetViews>
    <sheetView topLeftCell="BL1" zoomScale="90" zoomScaleNormal="90" workbookViewId="0">
      <selection sqref="A1:BK1048576"/>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63" width="0" style="160" hidden="1" customWidth="1"/>
    <col min="64" max="16384" width="8.6640625" style="160"/>
  </cols>
  <sheetData>
    <row r="1" spans="1:4" x14ac:dyDescent="0.3">
      <c r="B1" s="158"/>
      <c r="C1" s="159"/>
      <c r="D1" s="159"/>
    </row>
    <row r="2" spans="1:4" x14ac:dyDescent="0.3">
      <c r="B2" s="161" t="s">
        <v>306</v>
      </c>
      <c r="C2" s="162"/>
      <c r="D2" s="162"/>
    </row>
    <row r="3" spans="1:4" x14ac:dyDescent="0.3">
      <c r="B3" s="160" t="s">
        <v>10</v>
      </c>
      <c r="C3" s="163"/>
      <c r="D3" s="163"/>
    </row>
    <row r="4" spans="1:4" x14ac:dyDescent="0.3">
      <c r="B4" s="160" t="s">
        <v>11</v>
      </c>
      <c r="C4" s="163"/>
      <c r="D4" s="163"/>
    </row>
    <row r="5" spans="1:4" x14ac:dyDescent="0.3">
      <c r="C5" s="163"/>
      <c r="D5" s="163"/>
    </row>
    <row r="6" spans="1:4" x14ac:dyDescent="0.3">
      <c r="C6" s="163"/>
      <c r="D6" s="163"/>
    </row>
    <row r="7" spans="1:4" x14ac:dyDescent="0.3">
      <c r="C7" s="163"/>
      <c r="D7" s="163"/>
    </row>
    <row r="8" spans="1:4" x14ac:dyDescent="0.3">
      <c r="B8" s="160" t="s">
        <v>361</v>
      </c>
      <c r="C8" s="163"/>
      <c r="D8" s="163"/>
    </row>
    <row r="9" spans="1:4" x14ac:dyDescent="0.3">
      <c r="B9" s="160" t="s">
        <v>365</v>
      </c>
      <c r="C9" s="163"/>
      <c r="D9" s="163"/>
    </row>
    <row r="10" spans="1:4" x14ac:dyDescent="0.3">
      <c r="C10" s="163"/>
      <c r="D10" s="163"/>
    </row>
    <row r="11" spans="1:4" x14ac:dyDescent="0.3">
      <c r="C11" s="160" t="s">
        <v>310</v>
      </c>
      <c r="D11" s="160" t="s">
        <v>311</v>
      </c>
    </row>
    <row r="12" spans="1:4" x14ac:dyDescent="0.3">
      <c r="A12" s="160" t="s">
        <v>97</v>
      </c>
      <c r="B12" s="161" t="s">
        <v>385</v>
      </c>
      <c r="C12" s="161"/>
    </row>
    <row r="13" spans="1:4" x14ac:dyDescent="0.3">
      <c r="B13" s="160" t="s">
        <v>300</v>
      </c>
      <c r="C13" s="163"/>
    </row>
    <row r="14" spans="1:4" x14ac:dyDescent="0.3">
      <c r="B14" s="160" t="s">
        <v>3</v>
      </c>
      <c r="C14" s="163"/>
    </row>
    <row r="15" spans="1:4" x14ac:dyDescent="0.3">
      <c r="B15" s="160" t="s">
        <v>4</v>
      </c>
      <c r="C15" s="163"/>
    </row>
    <row r="16" spans="1:4" x14ac:dyDescent="0.3">
      <c r="C16" s="163"/>
    </row>
    <row r="17" spans="1:3" x14ac:dyDescent="0.3">
      <c r="A17" s="160" t="s">
        <v>98</v>
      </c>
      <c r="B17" s="160" t="s">
        <v>5</v>
      </c>
      <c r="C17" s="163"/>
    </row>
    <row r="19" spans="1:3" x14ac:dyDescent="0.3">
      <c r="A19" s="160" t="s">
        <v>99</v>
      </c>
      <c r="B19" s="160" t="s">
        <v>0</v>
      </c>
    </row>
    <row r="20" spans="1:3" x14ac:dyDescent="0.3">
      <c r="B20" s="160" t="s">
        <v>381</v>
      </c>
    </row>
    <row r="21" spans="1:3" x14ac:dyDescent="0.3">
      <c r="B21" s="160" t="s">
        <v>382</v>
      </c>
    </row>
    <row r="22" spans="1:3" x14ac:dyDescent="0.3">
      <c r="B22" s="160" t="s">
        <v>383</v>
      </c>
    </row>
    <row r="24" spans="1:3" x14ac:dyDescent="0.3">
      <c r="A24" s="160" t="s">
        <v>100</v>
      </c>
      <c r="B24" s="160" t="s">
        <v>380</v>
      </c>
    </row>
    <row r="25" spans="1:3" x14ac:dyDescent="0.3">
      <c r="B25" s="160" t="s">
        <v>6</v>
      </c>
    </row>
    <row r="27" spans="1:3" x14ac:dyDescent="0.3">
      <c r="A27" s="160" t="s">
        <v>101</v>
      </c>
      <c r="B27" s="160" t="s">
        <v>301</v>
      </c>
    </row>
    <row r="28" spans="1:3" x14ac:dyDescent="0.3">
      <c r="B28" s="160" t="s">
        <v>302</v>
      </c>
    </row>
    <row r="30" spans="1:3" x14ac:dyDescent="0.3">
      <c r="A30" s="160" t="s">
        <v>102</v>
      </c>
      <c r="B30" s="160" t="s">
        <v>384</v>
      </c>
    </row>
    <row r="31" spans="1:3" x14ac:dyDescent="0.3">
      <c r="B31" s="160" t="s">
        <v>303</v>
      </c>
    </row>
    <row r="33" spans="1:3" x14ac:dyDescent="0.3">
      <c r="A33" s="160" t="s">
        <v>103</v>
      </c>
      <c r="B33" s="160" t="s">
        <v>1</v>
      </c>
    </row>
    <row r="34" spans="1:3" x14ac:dyDescent="0.3">
      <c r="B34" s="160" t="s">
        <v>2</v>
      </c>
    </row>
    <row r="39" spans="1:3" x14ac:dyDescent="0.3">
      <c r="A39" s="160" t="s">
        <v>106</v>
      </c>
      <c r="B39" s="160" t="s">
        <v>107</v>
      </c>
      <c r="C39" s="160">
        <f>'Платоспроможність боржника'!C63</f>
        <v>0</v>
      </c>
    </row>
    <row r="40" spans="1:3" x14ac:dyDescent="0.3">
      <c r="B40" s="160" t="s">
        <v>108</v>
      </c>
      <c r="C40" s="160">
        <f>'Платоспроможність боржника'!C64</f>
        <v>0</v>
      </c>
    </row>
    <row r="41" spans="1:3" x14ac:dyDescent="0.3">
      <c r="B41" s="160" t="s">
        <v>109</v>
      </c>
      <c r="C41" s="160">
        <f>'Платоспроможність боржника'!C65</f>
        <v>0</v>
      </c>
    </row>
    <row r="42" spans="1:3" x14ac:dyDescent="0.3">
      <c r="B42" s="160" t="s">
        <v>110</v>
      </c>
      <c r="C42" s="160">
        <f>'Платоспроможність боржника'!C66</f>
        <v>0</v>
      </c>
    </row>
    <row r="51" spans="1:4" x14ac:dyDescent="0.3">
      <c r="B51" s="160" t="s">
        <v>164</v>
      </c>
    </row>
    <row r="52" spans="1:4" x14ac:dyDescent="0.3">
      <c r="B52" s="160" t="s">
        <v>135</v>
      </c>
      <c r="C52" s="160" t="e">
        <f>'Платоспроможність боржника'!C76</f>
        <v>#VALUE!</v>
      </c>
      <c r="D52" s="160" t="s">
        <v>145</v>
      </c>
    </row>
    <row r="53" spans="1:4" x14ac:dyDescent="0.3">
      <c r="B53" s="160" t="s">
        <v>136</v>
      </c>
      <c r="C53" s="160" t="e">
        <f>'Платоспроможність боржника'!C77</f>
        <v>#VALUE!</v>
      </c>
      <c r="D53" s="160" t="s">
        <v>146</v>
      </c>
    </row>
    <row r="54" spans="1:4" x14ac:dyDescent="0.3">
      <c r="B54" s="160" t="s">
        <v>134</v>
      </c>
      <c r="C54" s="160" t="e">
        <f>'Платоспроможність боржника'!C78</f>
        <v>#VALUE!</v>
      </c>
    </row>
    <row r="56" spans="1:4" x14ac:dyDescent="0.3">
      <c r="A56" s="160" t="s">
        <v>111</v>
      </c>
      <c r="B56" s="160" t="s">
        <v>112</v>
      </c>
      <c r="C56" s="160">
        <f>'Платоспроможність боржника'!$H$91</f>
        <v>4000000</v>
      </c>
    </row>
    <row r="57" spans="1:4" x14ac:dyDescent="0.3">
      <c r="B57" s="160" t="s">
        <v>113</v>
      </c>
      <c r="C57" s="160">
        <f>C8+C9</f>
        <v>0</v>
      </c>
    </row>
    <row r="58" spans="1:4" x14ac:dyDescent="0.3">
      <c r="B58" s="160" t="s">
        <v>111</v>
      </c>
      <c r="C58" s="160">
        <f>MAX(C56-C57,0)</f>
        <v>4000000</v>
      </c>
    </row>
    <row r="60" spans="1:4" x14ac:dyDescent="0.3">
      <c r="A60" s="160" t="s">
        <v>114</v>
      </c>
      <c r="B60" s="160" t="s">
        <v>148</v>
      </c>
      <c r="C60" s="160" t="s">
        <v>310</v>
      </c>
      <c r="D60" s="160" t="s">
        <v>311</v>
      </c>
    </row>
    <row r="61" spans="1:4" x14ac:dyDescent="0.3">
      <c r="B61" s="160" t="s">
        <v>121</v>
      </c>
      <c r="C61" s="160">
        <f>IFERROR(VLOOKUP(C19,'коефіцієнт витрат'!B2:C6,2,),70%)</f>
        <v>0.7</v>
      </c>
      <c r="D61" s="160">
        <f>IFERROR(VLOOKUP(D19,'коефіцієнт витрат'!B2:C6,2,),70%)</f>
        <v>0.7</v>
      </c>
    </row>
    <row r="62" spans="1:4" x14ac:dyDescent="0.3">
      <c r="B62" s="160" t="s">
        <v>115</v>
      </c>
      <c r="C62" s="160">
        <f>IF(C12="Чистий дохід за мінусом податків",1,0.805)*C13-C14</f>
        <v>0</v>
      </c>
      <c r="D62" s="160">
        <f>IF(D12="Чистий дохід за мінусом податків",1,0.805)*D13-D14</f>
        <v>0</v>
      </c>
    </row>
    <row r="63" spans="1:4" x14ac:dyDescent="0.3">
      <c r="B63" s="160" t="s">
        <v>116</v>
      </c>
      <c r="C63" s="160">
        <f>C17</f>
        <v>0</v>
      </c>
      <c r="D63" s="160">
        <f>D17</f>
        <v>0</v>
      </c>
    </row>
    <row r="64" spans="1:4" x14ac:dyDescent="0.3">
      <c r="B64" s="160" t="s">
        <v>117</v>
      </c>
      <c r="C64" s="160">
        <f>(C20-C21)-MAX(C61*(C20-C21),C22)</f>
        <v>0</v>
      </c>
      <c r="D64" s="160">
        <f>(D20-D21)-MAX(D61*(D20-D21),D22)</f>
        <v>0</v>
      </c>
    </row>
    <row r="65" spans="1:4" x14ac:dyDescent="0.3">
      <c r="B65" s="160" t="s">
        <v>118</v>
      </c>
      <c r="C65" s="160">
        <f>C24</f>
        <v>0</v>
      </c>
      <c r="D65" s="160">
        <f>D24</f>
        <v>0</v>
      </c>
    </row>
    <row r="66" spans="1:4" x14ac:dyDescent="0.3">
      <c r="B66" s="160" t="s">
        <v>119</v>
      </c>
      <c r="C66" s="160">
        <f>C27-C28</f>
        <v>0</v>
      </c>
      <c r="D66" s="160">
        <f>D27-D28</f>
        <v>0</v>
      </c>
    </row>
    <row r="67" spans="1:4" x14ac:dyDescent="0.3">
      <c r="B67" s="160" t="s">
        <v>120</v>
      </c>
      <c r="C67" s="160">
        <f>(C30-C31)</f>
        <v>0</v>
      </c>
      <c r="D67" s="160">
        <f>(D30-D31)</f>
        <v>0</v>
      </c>
    </row>
    <row r="68" spans="1:4" x14ac:dyDescent="0.3">
      <c r="B68" s="160" t="s">
        <v>366</v>
      </c>
      <c r="C68" s="160">
        <f>SUM(C62:C67)</f>
        <v>0</v>
      </c>
      <c r="D68" s="160">
        <f>SUM(D62:D67)</f>
        <v>0</v>
      </c>
    </row>
    <row r="69" spans="1:4" x14ac:dyDescent="0.3">
      <c r="B69" s="160" t="s">
        <v>128</v>
      </c>
      <c r="C69" s="160">
        <f>C68+D68</f>
        <v>0</v>
      </c>
    </row>
    <row r="71" spans="1:4" x14ac:dyDescent="0.3">
      <c r="A71" s="160" t="s">
        <v>129</v>
      </c>
      <c r="B71" s="160" t="s">
        <v>130</v>
      </c>
      <c r="C71" s="160">
        <f>'Платоспроможність боржника'!H82</f>
        <v>30</v>
      </c>
    </row>
    <row r="72" spans="1:4" x14ac:dyDescent="0.3">
      <c r="B72" s="160" t="s">
        <v>131</v>
      </c>
      <c r="C72" s="160">
        <f>IF('Платоспроможність боржника'!C3&lt;&gt;"",'Платоспроможність боржника'!C4/'Платоспроможність боржника'!C3*100,0)</f>
        <v>70</v>
      </c>
    </row>
    <row r="73" spans="1:4" x14ac:dyDescent="0.3">
      <c r="B73" s="160" t="s">
        <v>129</v>
      </c>
      <c r="C73" s="160">
        <f>'Платоспроможність боржника'!C97</f>
        <v>103960.00000000003</v>
      </c>
    </row>
    <row r="75" spans="1:4" x14ac:dyDescent="0.3">
      <c r="A75" s="160" t="s">
        <v>132</v>
      </c>
      <c r="B75" s="160" t="s">
        <v>133</v>
      </c>
      <c r="C75" s="160">
        <f>'Платоспроможність боржника'!H83</f>
        <v>0.65</v>
      </c>
    </row>
    <row r="76" spans="1:4" x14ac:dyDescent="0.3">
      <c r="B76" s="160" t="s">
        <v>305</v>
      </c>
      <c r="C76" s="160">
        <f>C33+D33+E33+C34+D34+E34</f>
        <v>0</v>
      </c>
    </row>
    <row r="77" spans="1:4" x14ac:dyDescent="0.3">
      <c r="B77" s="160" t="s">
        <v>132</v>
      </c>
      <c r="C77" s="160" t="e">
        <f>IF(C54&lt;&gt;0,(C75*C69-C76)/C54,0)</f>
        <v>#VALUE!</v>
      </c>
    </row>
    <row r="79" spans="1:4" x14ac:dyDescent="0.3">
      <c r="A79" s="160" t="s">
        <v>137</v>
      </c>
      <c r="B79" s="160" t="s">
        <v>138</v>
      </c>
      <c r="C79" s="160">
        <f>'Платоспроможність боржника'!H84</f>
        <v>1</v>
      </c>
    </row>
    <row r="80" spans="1:4" x14ac:dyDescent="0.3">
      <c r="B80" s="160" t="s">
        <v>139</v>
      </c>
      <c r="C80" s="160">
        <f>'Платоспроможність боржника'!H85</f>
        <v>1.266</v>
      </c>
    </row>
    <row r="81" spans="1:3" x14ac:dyDescent="0.3">
      <c r="B81" s="160" t="s">
        <v>293</v>
      </c>
      <c r="C81" s="160">
        <f>'Платоспроможність боржника'!H86</f>
        <v>1420.07</v>
      </c>
    </row>
    <row r="83" spans="1:3" x14ac:dyDescent="0.3">
      <c r="B83" s="160" t="s">
        <v>294</v>
      </c>
      <c r="C83" s="160">
        <f>IF(C87&lt;=4,VLOOKUP(C87,'Таблиця МП_БВС'!H:I,2,),IF(C87&gt;4,'Таблиця МП_БВС'!$I$7+(C87-4)*C81,0))</f>
        <v>5120.17</v>
      </c>
    </row>
    <row r="84" spans="1:3" x14ac:dyDescent="0.3">
      <c r="B84" s="160" t="s">
        <v>140</v>
      </c>
      <c r="C84" s="160">
        <f>IFERROR(VLOOKUP(C3,'Таблиця МП_БВС'!$B:$E,4,),1.33)</f>
        <v>1.33</v>
      </c>
    </row>
    <row r="85" spans="1:3" x14ac:dyDescent="0.3">
      <c r="B85" s="160" t="s">
        <v>141</v>
      </c>
      <c r="C85" s="160">
        <f>IFERROR(VLOOKUP(C4,'Таблиця МП_БВС'!$B:$E,4,),1.33)</f>
        <v>1.33</v>
      </c>
    </row>
    <row r="86" spans="1:3" x14ac:dyDescent="0.3">
      <c r="B86" s="160" t="s">
        <v>17</v>
      </c>
      <c r="C86" s="160">
        <f>MAX(C84,C85)</f>
        <v>1.33</v>
      </c>
    </row>
    <row r="87" spans="1:3" x14ac:dyDescent="0.3">
      <c r="B87" s="160" t="s">
        <v>143</v>
      </c>
      <c r="C87" s="160">
        <f>1+IF(OR(H1="одружений(на)",H1="не зареєстрований шлюб"),1,0)+H2</f>
        <v>1</v>
      </c>
    </row>
    <row r="88" spans="1:3" x14ac:dyDescent="0.3">
      <c r="B88" s="160" t="s">
        <v>144</v>
      </c>
      <c r="C88" s="160">
        <f>MAX(C2,C83*C86*$C$80)</f>
        <v>8621.2398426</v>
      </c>
    </row>
    <row r="89" spans="1:3" x14ac:dyDescent="0.3">
      <c r="B89" s="160" t="s">
        <v>137</v>
      </c>
      <c r="C89" s="160" t="e">
        <f>IF(C54&lt;&gt;0,(C79*C69-C76-C88)/C54,0)</f>
        <v>#VALUE!</v>
      </c>
    </row>
    <row r="91" spans="1:3" x14ac:dyDescent="0.3">
      <c r="A91" s="160" t="s">
        <v>147</v>
      </c>
      <c r="B91" s="160" t="s">
        <v>148</v>
      </c>
    </row>
    <row r="93" spans="1:3" x14ac:dyDescent="0.3">
      <c r="A93" s="160" t="s">
        <v>149</v>
      </c>
      <c r="B93" s="160" t="s">
        <v>150</v>
      </c>
      <c r="C93" s="160">
        <f>'Платоспроможність боржника'!H87</f>
        <v>4000000</v>
      </c>
    </row>
    <row r="94" spans="1:3" x14ac:dyDescent="0.3">
      <c r="B94" s="160" t="s">
        <v>151</v>
      </c>
      <c r="C94" s="160">
        <f>C39+C40+C41+C42</f>
        <v>0</v>
      </c>
    </row>
    <row r="95" spans="1:3" x14ac:dyDescent="0.3">
      <c r="B95" s="160" t="s">
        <v>149</v>
      </c>
      <c r="C95" s="160">
        <f>C93-C94</f>
        <v>4000000</v>
      </c>
    </row>
    <row r="97" spans="1:3" x14ac:dyDescent="0.3">
      <c r="A97" s="160" t="s">
        <v>152</v>
      </c>
      <c r="B97" s="160" t="s">
        <v>112</v>
      </c>
      <c r="C97" s="160">
        <f>'Платоспроможність боржника'!$H$91</f>
        <v>4000000</v>
      </c>
    </row>
    <row r="99" spans="1:3" x14ac:dyDescent="0.3">
      <c r="B99" s="160" t="s">
        <v>152</v>
      </c>
      <c r="C99" s="160">
        <f>IF(C98+'Платоспроможність боржника'!H5*31&lt;=C97,C56,0)</f>
        <v>4000000</v>
      </c>
    </row>
    <row r="101" spans="1:3" x14ac:dyDescent="0.3">
      <c r="A101" s="160" t="s">
        <v>153</v>
      </c>
      <c r="B101" s="160" t="s">
        <v>153</v>
      </c>
      <c r="C101" s="160">
        <f>'Платоспроможність боржника'!C126</f>
        <v>100000.00000000003</v>
      </c>
    </row>
    <row r="103" spans="1:3" x14ac:dyDescent="0.3">
      <c r="A103" s="160" t="s">
        <v>154</v>
      </c>
      <c r="B103" s="160" t="s">
        <v>148</v>
      </c>
    </row>
    <row r="104" spans="1:3" x14ac:dyDescent="0.3">
      <c r="A104" s="160" t="s">
        <v>155</v>
      </c>
      <c r="B104" s="160" t="s">
        <v>148</v>
      </c>
    </row>
    <row r="105" spans="1:3" x14ac:dyDescent="0.3">
      <c r="A105" s="160" t="s">
        <v>156</v>
      </c>
      <c r="B105" s="160" t="s">
        <v>148</v>
      </c>
    </row>
    <row r="107" spans="1:3" x14ac:dyDescent="0.3">
      <c r="A107" s="160" t="s">
        <v>157</v>
      </c>
      <c r="B107" s="160" t="s">
        <v>158</v>
      </c>
      <c r="C107" s="160">
        <f>'Платоспроможність боржника'!H88</f>
        <v>0.5</v>
      </c>
    </row>
    <row r="108" spans="1:3" x14ac:dyDescent="0.3">
      <c r="B108" s="160" t="s">
        <v>157</v>
      </c>
      <c r="C108" s="160">
        <f>IF('Платоспроможність боржника'!C5&gt;0,C107*'Платоспроможність боржника'!C5,0)</f>
        <v>2500000</v>
      </c>
    </row>
    <row r="110" spans="1:3" x14ac:dyDescent="0.3">
      <c r="B110" s="160" t="s">
        <v>161</v>
      </c>
      <c r="C110" s="160" t="e">
        <f>ROUNDDOWN(MAX(MIN(C58,C73,C77,C89,C95,C99,C101,C108),0)*'Платоспроможність боржника'!H89,-2)</f>
        <v>#VALUE!</v>
      </c>
    </row>
    <row r="112" spans="1:3" x14ac:dyDescent="0.3">
      <c r="B112" s="160" t="s">
        <v>367</v>
      </c>
      <c r="C112" s="160" t="e">
        <f>IF(OR(C110&lt;'Платоспроможність боржника'!C135,C110=0),"Поручитель неплатоспроможний","Поручитель платоспроможний")</f>
        <v>#VALUE!</v>
      </c>
    </row>
  </sheetData>
  <conditionalFormatting sqref="C112">
    <cfRule type="containsText" dxfId="2" priority="1" operator="containsText" text="Поручитель неплатоспроможний">
      <formula>NOT(ISERROR(SEARCH("Поручитель неплатоспроможний",C112)))</formula>
    </cfRule>
    <cfRule type="containsText" dxfId="1" priority="2" operator="containsText" text="Поручитель платоспроможний">
      <formula>NOT(ISERROR(SEARCH("Поручитель платоспроможний",C112)))</formula>
    </cfRule>
  </conditionalFormatting>
  <conditionalFormatting sqref="D1">
    <cfRule type="expression" dxfId="0" priority="7">
      <formula>IF(#REF!="Так",FALSE,TRUE)</formula>
    </cfRule>
  </conditionalFormatting>
  <dataValidations disablePrompts="1" count="3">
    <dataValidation showInputMessage="1" showErrorMessage="1" sqref="B8" xr:uid="{C0BCEEB6-6731-426D-AEF6-625A2AB66ED0}"/>
    <dataValidation type="list" allowBlank="1" showInputMessage="1" showErrorMessage="1" sqref="H1" xr:uid="{07569E40-DB6C-42DD-84DC-3DFC176BB316}">
      <formula1>"одружений(на),не одружений(на),не зареєстрований шлюб,розлучений(на),вдова/вдівець"</formula1>
    </dataValidation>
    <dataValidation type="list" allowBlank="1" showInputMessage="1" showErrorMessage="1" sqref="C12:D12" xr:uid="{EF895FC2-8297-4B6E-A890-BCD3DB7C50A3}">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verticalDpi="0" r:id="rId1"/>
  <headerFooter>
    <oddHeader>&amp;R&amp;"Calibri"&amp;10&amp;KFF0000КОНФІДЕНЦІЙНА ІНФОРМАЦІЯ&amp;1#</oddHeader>
  </headerFooter>
  <drawing r:id="rId2"/>
  <legacyDrawing r:id="rId3"/>
  <controls>
    <mc:AlternateContent xmlns:mc="http://schemas.openxmlformats.org/markup-compatibility/2006">
      <mc:Choice Requires="x14">
        <control shapeId="11275" r:id="rId4" name="CommandButton1">
          <controlPr defaultSize="0" autoLine="0" r:id="rId5">
            <anchor moveWithCells="1">
              <from>
                <xdr:col>0</xdr:col>
                <xdr:colOff>0</xdr:colOff>
                <xdr:row>0</xdr:row>
                <xdr:rowOff>137160</xdr:rowOff>
              </from>
              <to>
                <xdr:col>65</xdr:col>
                <xdr:colOff>266700</xdr:colOff>
                <xdr:row>2</xdr:row>
                <xdr:rowOff>175260</xdr:rowOff>
              </to>
            </anchor>
          </controlPr>
        </control>
      </mc:Choice>
      <mc:Fallback>
        <control shapeId="11275" r:id="rId4" name="CommandButton1"/>
      </mc:Fallback>
    </mc:AlternateContent>
  </control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53EE1F29-2824-4C06-B2D0-6C075F4BC857}">
          <x14:formula1>
            <xm:f>'коефіцієнт витрат'!$B$2:$B$7</xm:f>
          </x14:formula1>
          <xm:sqref>C19:D19</xm:sqref>
        </x14:dataValidation>
        <x14:dataValidation type="list" allowBlank="1" showInputMessage="1" showErrorMessage="1" xr:uid="{B0490151-8585-4A41-88E9-B9E5A9FC5763}">
          <x14:formula1>
            <xm:f>'Таблиця МП_БВС'!$B$3:$B$47</xm:f>
          </x14:formula1>
          <xm:sqref>C3:C4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8C23A-99B9-4A07-AACF-DE84ADB771BE}">
  <sheetPr codeName="Аркуш3"/>
  <dimension ref="B1:D17"/>
  <sheetViews>
    <sheetView topLeftCell="BG1" workbookViewId="0">
      <selection sqref="A1:BF1048576"/>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58" width="0" style="160" hidden="1" customWidth="1"/>
    <col min="59" max="16384" width="8.6640625" style="160"/>
  </cols>
  <sheetData>
    <row r="1" spans="2:4" x14ac:dyDescent="0.3">
      <c r="B1" s="158"/>
      <c r="C1" s="159" t="s">
        <v>104</v>
      </c>
      <c r="D1" s="159" t="s">
        <v>310</v>
      </c>
    </row>
    <row r="2" spans="2:4" x14ac:dyDescent="0.3">
      <c r="B2" s="161" t="s">
        <v>160</v>
      </c>
      <c r="C2" s="162" t="e">
        <f>'Платоспроможність боржника'!C135</f>
        <v>#VALUE!</v>
      </c>
      <c r="D2" s="162" t="e">
        <f>'Платоспроможність поручителя'!C110</f>
        <v>#VALUE!</v>
      </c>
    </row>
    <row r="3" spans="2:4" x14ac:dyDescent="0.3">
      <c r="B3" s="160" t="s">
        <v>111</v>
      </c>
      <c r="C3" s="163">
        <f>'Платоспроможність боржника'!C82</f>
        <v>4000000</v>
      </c>
      <c r="D3" s="163">
        <f>'Платоспроможність поручителя'!C58</f>
        <v>4000000</v>
      </c>
    </row>
    <row r="4" spans="2:4" x14ac:dyDescent="0.3">
      <c r="B4" s="160" t="s">
        <v>129</v>
      </c>
      <c r="C4" s="163">
        <f>'Платоспроможність боржника'!C97</f>
        <v>103960.00000000003</v>
      </c>
      <c r="D4" s="163">
        <f>'Платоспроможність поручителя'!C73</f>
        <v>103960.00000000003</v>
      </c>
    </row>
    <row r="5" spans="2:4" x14ac:dyDescent="0.3">
      <c r="B5" s="160" t="s">
        <v>132</v>
      </c>
      <c r="C5" s="163" t="e">
        <f>'Платоспроможність боржника'!C101</f>
        <v>#VALUE!</v>
      </c>
      <c r="D5" s="163" t="e">
        <f>'Платоспроможність поручителя'!C77</f>
        <v>#VALUE!</v>
      </c>
    </row>
    <row r="6" spans="2:4" x14ac:dyDescent="0.3">
      <c r="B6" s="160" t="s">
        <v>137</v>
      </c>
      <c r="C6" s="163" t="e">
        <f>'Платоспроможність боржника'!C114</f>
        <v>#VALUE!</v>
      </c>
      <c r="D6" s="163" t="e">
        <f>'Платоспроможність поручителя'!C89</f>
        <v>#VALUE!</v>
      </c>
    </row>
    <row r="7" spans="2:4" x14ac:dyDescent="0.3">
      <c r="B7" s="160" t="s">
        <v>149</v>
      </c>
      <c r="C7" s="163">
        <f>'Платоспроможність боржника'!C120</f>
        <v>4000000</v>
      </c>
      <c r="D7" s="163">
        <f>'Платоспроможність поручителя'!C95</f>
        <v>4000000</v>
      </c>
    </row>
    <row r="8" spans="2:4" x14ac:dyDescent="0.3">
      <c r="B8" s="160" t="s">
        <v>152</v>
      </c>
      <c r="C8" s="163">
        <f>'Платоспроможність боржника'!C124</f>
        <v>4000000</v>
      </c>
      <c r="D8" s="163">
        <f>'Платоспроможність поручителя'!C99</f>
        <v>4000000</v>
      </c>
    </row>
    <row r="9" spans="2:4" x14ac:dyDescent="0.3">
      <c r="B9" s="160" t="s">
        <v>153</v>
      </c>
      <c r="C9" s="163">
        <f>'Платоспроможність боржника'!C126</f>
        <v>100000.00000000003</v>
      </c>
      <c r="D9" s="163">
        <f>'Платоспроможність поручителя'!C101</f>
        <v>100000.00000000003</v>
      </c>
    </row>
    <row r="10" spans="2:4" x14ac:dyDescent="0.3">
      <c r="B10" s="160" t="s">
        <v>157</v>
      </c>
      <c r="C10" s="163">
        <f>'Платоспроможність боржника'!C133</f>
        <v>2500000</v>
      </c>
      <c r="D10" s="163">
        <f>'Платоспроможність поручителя'!C108</f>
        <v>2500000</v>
      </c>
    </row>
    <row r="12" spans="2:4" x14ac:dyDescent="0.3">
      <c r="B12" s="161" t="s">
        <v>292</v>
      </c>
      <c r="C12" s="161" t="e">
        <f ca="1">'Платоспроможність боржника'!C174</f>
        <v>#VALUE!</v>
      </c>
    </row>
    <row r="13" spans="2:4" x14ac:dyDescent="0.3">
      <c r="B13" s="160" t="s">
        <v>214</v>
      </c>
      <c r="C13" s="163">
        <f>'Платоспроможність боржника'!C139</f>
        <v>33016.53</v>
      </c>
    </row>
    <row r="14" spans="2:4" x14ac:dyDescent="0.3">
      <c r="B14" s="160" t="s">
        <v>166</v>
      </c>
      <c r="C14" s="163">
        <f>'Платоспроможність боржника'!C141</f>
        <v>1601378.7601574</v>
      </c>
    </row>
    <row r="15" spans="2:4" x14ac:dyDescent="0.3">
      <c r="B15" s="160" t="s">
        <v>167</v>
      </c>
      <c r="C15" s="163">
        <f>'Платоспроможність боржника'!C142</f>
        <v>38.666816356547358</v>
      </c>
    </row>
    <row r="16" spans="2:4" x14ac:dyDescent="0.3">
      <c r="B16" s="160" t="s">
        <v>168</v>
      </c>
      <c r="C16" s="163">
        <f>'Платоспроможність боржника'!C143</f>
        <v>2.050716149068323E-2</v>
      </c>
    </row>
    <row r="17" spans="2:3" x14ac:dyDescent="0.3">
      <c r="B17" s="160" t="s">
        <v>169</v>
      </c>
      <c r="C17" s="163" t="e">
        <f>'Платоспроможність боржника'!C144</f>
        <v>#VALUE!</v>
      </c>
    </row>
  </sheetData>
  <phoneticPr fontId="6" type="noConversion"/>
  <pageMargins left="0.7" right="0.7" top="0.75" bottom="0.75" header="0.3" footer="0.3"/>
  <pageSetup paperSize="9" orientation="portrait" verticalDpi="0" r:id="rId1"/>
  <headerFooter>
    <oddHeader>&amp;R&amp;"Calibri"&amp;10&amp;KFF0000КОНФІДЕНЦІЙНА ІНФОРМАЦІЯ&amp;1#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30F1D-D869-4E9F-88E0-93733FC11ADB}">
  <sheetPr codeName="Аркуш4"/>
  <dimension ref="B1:I56"/>
  <sheetViews>
    <sheetView topLeftCell="BF1" workbookViewId="0">
      <selection sqref="A1:BE1048576"/>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57" width="0" style="160" hidden="1" customWidth="1"/>
    <col min="58" max="16384" width="8.6640625" style="160"/>
  </cols>
  <sheetData>
    <row r="1" spans="2:9" x14ac:dyDescent="0.3">
      <c r="B1" s="158"/>
      <c r="C1" s="159" t="s">
        <v>159</v>
      </c>
      <c r="D1" s="159"/>
      <c r="F1" s="160" t="s">
        <v>243</v>
      </c>
    </row>
    <row r="2" spans="2:9" x14ac:dyDescent="0.3">
      <c r="B2" s="161" t="s">
        <v>122</v>
      </c>
      <c r="C2" s="162">
        <v>0.7</v>
      </c>
      <c r="D2" s="162"/>
      <c r="F2" s="160" t="s">
        <v>244</v>
      </c>
    </row>
    <row r="3" spans="2:9" x14ac:dyDescent="0.3">
      <c r="B3" s="160" t="s">
        <v>123</v>
      </c>
      <c r="C3" s="163">
        <v>0.5</v>
      </c>
      <c r="D3" s="163"/>
      <c r="F3" s="160">
        <v>1</v>
      </c>
      <c r="G3" s="160" t="s">
        <v>245</v>
      </c>
      <c r="H3" s="160" t="s">
        <v>246</v>
      </c>
      <c r="I3" s="160">
        <v>1500</v>
      </c>
    </row>
    <row r="4" spans="2:9" x14ac:dyDescent="0.3">
      <c r="B4" s="160" t="s">
        <v>125</v>
      </c>
      <c r="C4" s="163">
        <v>0.6</v>
      </c>
      <c r="D4" s="163"/>
      <c r="H4" s="160" t="s">
        <v>247</v>
      </c>
      <c r="I4" s="160">
        <v>1400</v>
      </c>
    </row>
    <row r="5" spans="2:9" x14ac:dyDescent="0.3">
      <c r="B5" s="160" t="s">
        <v>124</v>
      </c>
      <c r="C5" s="163">
        <v>0.3</v>
      </c>
      <c r="D5" s="163"/>
      <c r="H5" s="160" t="s">
        <v>248</v>
      </c>
      <c r="I5" s="160">
        <v>1200</v>
      </c>
    </row>
    <row r="6" spans="2:9" x14ac:dyDescent="0.3">
      <c r="B6" s="160" t="s">
        <v>126</v>
      </c>
      <c r="C6" s="163">
        <v>0.4</v>
      </c>
      <c r="D6" s="163"/>
      <c r="H6" s="160" t="s">
        <v>249</v>
      </c>
      <c r="I6" s="160">
        <v>1000</v>
      </c>
    </row>
    <row r="7" spans="2:9" x14ac:dyDescent="0.3">
      <c r="B7" s="160" t="s">
        <v>163</v>
      </c>
      <c r="C7" s="163">
        <v>0.7</v>
      </c>
      <c r="D7" s="163"/>
      <c r="H7" s="160" t="s">
        <v>250</v>
      </c>
      <c r="I7" s="160">
        <v>600</v>
      </c>
    </row>
    <row r="8" spans="2:9" x14ac:dyDescent="0.3">
      <c r="C8" s="163"/>
      <c r="D8" s="163"/>
      <c r="H8" s="160" t="s">
        <v>251</v>
      </c>
      <c r="I8" s="160">
        <v>0</v>
      </c>
    </row>
    <row r="9" spans="2:9" x14ac:dyDescent="0.3">
      <c r="B9" s="160" t="s">
        <v>240</v>
      </c>
      <c r="C9" s="163"/>
      <c r="D9" s="163"/>
      <c r="F9" s="160">
        <v>2</v>
      </c>
      <c r="G9" s="160" t="s">
        <v>252</v>
      </c>
      <c r="H9" s="160" t="s">
        <v>253</v>
      </c>
      <c r="I9" s="160">
        <v>1250</v>
      </c>
    </row>
    <row r="10" spans="2:9" x14ac:dyDescent="0.3">
      <c r="B10" s="160" t="s">
        <v>241</v>
      </c>
      <c r="C10" s="163" t="s">
        <v>220</v>
      </c>
      <c r="D10" s="163"/>
      <c r="H10" s="160" t="s">
        <v>284</v>
      </c>
      <c r="I10" s="160">
        <v>1000</v>
      </c>
    </row>
    <row r="11" spans="2:9" x14ac:dyDescent="0.3">
      <c r="B11" s="160" t="s">
        <v>242</v>
      </c>
      <c r="C11" s="160">
        <v>1</v>
      </c>
      <c r="H11" s="160" t="s">
        <v>285</v>
      </c>
      <c r="I11" s="160">
        <v>750</v>
      </c>
    </row>
    <row r="12" spans="2:9" x14ac:dyDescent="0.3">
      <c r="B12" s="161" t="s">
        <v>221</v>
      </c>
      <c r="C12" s="161">
        <v>2</v>
      </c>
      <c r="H12" s="160" t="s">
        <v>286</v>
      </c>
      <c r="I12" s="160">
        <v>500</v>
      </c>
    </row>
    <row r="13" spans="2:9" x14ac:dyDescent="0.3">
      <c r="B13" s="160" t="s">
        <v>222</v>
      </c>
      <c r="C13" s="163">
        <v>3</v>
      </c>
      <c r="H13" s="160" t="s">
        <v>287</v>
      </c>
      <c r="I13" s="160">
        <v>250</v>
      </c>
    </row>
    <row r="14" spans="2:9" x14ac:dyDescent="0.3">
      <c r="B14" s="160" t="s">
        <v>223</v>
      </c>
      <c r="C14" s="163">
        <v>4</v>
      </c>
      <c r="H14" s="160" t="s">
        <v>254</v>
      </c>
      <c r="I14" s="160">
        <v>0</v>
      </c>
    </row>
    <row r="15" spans="2:9" x14ac:dyDescent="0.3">
      <c r="B15" s="160" t="s">
        <v>224</v>
      </c>
      <c r="C15" s="163">
        <v>5</v>
      </c>
      <c r="F15" s="160">
        <v>3</v>
      </c>
      <c r="G15" s="160" t="s">
        <v>255</v>
      </c>
      <c r="H15" s="160" t="s">
        <v>256</v>
      </c>
      <c r="I15" s="160">
        <v>1000</v>
      </c>
    </row>
    <row r="16" spans="2:9" x14ac:dyDescent="0.3">
      <c r="C16" s="163"/>
      <c r="H16" s="160" t="s">
        <v>291</v>
      </c>
      <c r="I16" s="160">
        <v>800</v>
      </c>
    </row>
    <row r="17" spans="2:9" x14ac:dyDescent="0.3">
      <c r="C17" s="163"/>
      <c r="H17" s="160" t="s">
        <v>290</v>
      </c>
      <c r="I17" s="160">
        <v>600</v>
      </c>
    </row>
    <row r="18" spans="2:9" x14ac:dyDescent="0.3">
      <c r="B18" s="160" t="s">
        <v>225</v>
      </c>
      <c r="H18" s="160" t="s">
        <v>288</v>
      </c>
      <c r="I18" s="160">
        <v>400</v>
      </c>
    </row>
    <row r="19" spans="2:9" x14ac:dyDescent="0.3">
      <c r="B19" s="160" t="s">
        <v>226</v>
      </c>
      <c r="C19" s="160" t="s">
        <v>227</v>
      </c>
      <c r="H19" s="160" t="s">
        <v>289</v>
      </c>
      <c r="I19" s="160">
        <v>200</v>
      </c>
    </row>
    <row r="20" spans="2:9" x14ac:dyDescent="0.3">
      <c r="B20" s="160" t="s">
        <v>228</v>
      </c>
      <c r="C20" s="160">
        <v>1</v>
      </c>
      <c r="F20" s="160">
        <v>4</v>
      </c>
      <c r="G20" s="160" t="s">
        <v>257</v>
      </c>
      <c r="H20" s="160" t="s">
        <v>258</v>
      </c>
      <c r="I20" s="160">
        <v>500</v>
      </c>
    </row>
    <row r="21" spans="2:9" x14ac:dyDescent="0.3">
      <c r="B21" s="160" t="s">
        <v>229</v>
      </c>
      <c r="C21" s="160">
        <v>2</v>
      </c>
      <c r="H21" s="160" t="s">
        <v>259</v>
      </c>
      <c r="I21" s="160">
        <v>0</v>
      </c>
    </row>
    <row r="22" spans="2:9" x14ac:dyDescent="0.3">
      <c r="B22" s="160" t="s">
        <v>230</v>
      </c>
      <c r="C22" s="160">
        <v>3</v>
      </c>
    </row>
    <row r="23" spans="2:9" x14ac:dyDescent="0.3">
      <c r="B23" s="160" t="s">
        <v>231</v>
      </c>
      <c r="C23" s="160">
        <v>4</v>
      </c>
      <c r="F23" s="160" t="s">
        <v>260</v>
      </c>
    </row>
    <row r="24" spans="2:9" x14ac:dyDescent="0.3">
      <c r="B24" s="160" t="s">
        <v>232</v>
      </c>
      <c r="C24" s="160">
        <v>5</v>
      </c>
      <c r="F24" s="160">
        <v>5</v>
      </c>
      <c r="G24" s="160" t="s">
        <v>184</v>
      </c>
      <c r="H24" s="160" t="s">
        <v>261</v>
      </c>
      <c r="I24" s="160">
        <v>84</v>
      </c>
    </row>
    <row r="25" spans="2:9" x14ac:dyDescent="0.3">
      <c r="H25" s="160" t="s">
        <v>262</v>
      </c>
      <c r="I25" s="160">
        <v>87</v>
      </c>
    </row>
    <row r="26" spans="2:9" x14ac:dyDescent="0.3">
      <c r="H26" s="160" t="s">
        <v>263</v>
      </c>
      <c r="I26" s="160">
        <v>92</v>
      </c>
    </row>
    <row r="27" spans="2:9" x14ac:dyDescent="0.3">
      <c r="B27" s="160" t="s">
        <v>233</v>
      </c>
      <c r="H27" s="160" t="s">
        <v>264</v>
      </c>
      <c r="I27" s="160">
        <v>98</v>
      </c>
    </row>
    <row r="28" spans="2:9" x14ac:dyDescent="0.3">
      <c r="B28" s="160" t="s">
        <v>234</v>
      </c>
      <c r="C28" s="160" t="s">
        <v>219</v>
      </c>
      <c r="F28" s="160">
        <v>6</v>
      </c>
      <c r="G28" s="160" t="s">
        <v>185</v>
      </c>
      <c r="H28" s="160" t="s">
        <v>265</v>
      </c>
      <c r="I28" s="160">
        <v>81</v>
      </c>
    </row>
    <row r="29" spans="2:9" x14ac:dyDescent="0.3">
      <c r="B29" s="160" t="s">
        <v>235</v>
      </c>
      <c r="C29" s="160">
        <v>1</v>
      </c>
      <c r="H29" s="160" t="s">
        <v>266</v>
      </c>
      <c r="I29" s="160">
        <v>90</v>
      </c>
    </row>
    <row r="30" spans="2:9" x14ac:dyDescent="0.3">
      <c r="B30" s="160" t="s">
        <v>236</v>
      </c>
      <c r="C30" s="160">
        <v>2</v>
      </c>
      <c r="H30" s="160" t="s">
        <v>267</v>
      </c>
      <c r="I30" s="160">
        <v>87</v>
      </c>
    </row>
    <row r="31" spans="2:9" x14ac:dyDescent="0.3">
      <c r="B31" s="160" t="s">
        <v>237</v>
      </c>
      <c r="C31" s="160">
        <v>3</v>
      </c>
      <c r="H31" s="160" t="s">
        <v>268</v>
      </c>
      <c r="I31" s="160">
        <v>94</v>
      </c>
    </row>
    <row r="32" spans="2:9" x14ac:dyDescent="0.3">
      <c r="B32" s="160" t="s">
        <v>238</v>
      </c>
      <c r="C32" s="160">
        <v>4</v>
      </c>
      <c r="F32" s="160">
        <v>7</v>
      </c>
      <c r="G32" s="160" t="s">
        <v>186</v>
      </c>
      <c r="H32" s="160" t="s">
        <v>269</v>
      </c>
      <c r="I32" s="160">
        <v>87</v>
      </c>
    </row>
    <row r="33" spans="2:9" x14ac:dyDescent="0.3">
      <c r="B33" s="160" t="s">
        <v>239</v>
      </c>
      <c r="C33" s="160">
        <v>5</v>
      </c>
      <c r="H33" s="160" t="s">
        <v>270</v>
      </c>
      <c r="I33" s="160">
        <v>88</v>
      </c>
    </row>
    <row r="34" spans="2:9" x14ac:dyDescent="0.3">
      <c r="H34" s="160" t="s">
        <v>271</v>
      </c>
      <c r="I34" s="160">
        <v>89</v>
      </c>
    </row>
    <row r="35" spans="2:9" x14ac:dyDescent="0.3">
      <c r="H35" s="160" t="s">
        <v>272</v>
      </c>
      <c r="I35" s="160">
        <v>92</v>
      </c>
    </row>
    <row r="36" spans="2:9" x14ac:dyDescent="0.3">
      <c r="H36" s="160" t="s">
        <v>273</v>
      </c>
      <c r="I36" s="160">
        <v>93</v>
      </c>
    </row>
    <row r="37" spans="2:9" x14ac:dyDescent="0.3">
      <c r="F37" s="160">
        <v>8</v>
      </c>
      <c r="G37" s="160" t="s">
        <v>187</v>
      </c>
      <c r="H37" s="160" t="s">
        <v>274</v>
      </c>
      <c r="I37" s="160">
        <v>92</v>
      </c>
    </row>
    <row r="38" spans="2:9" x14ac:dyDescent="0.3">
      <c r="H38" s="160" t="s">
        <v>275</v>
      </c>
      <c r="I38" s="160">
        <v>90</v>
      </c>
    </row>
    <row r="39" spans="2:9" x14ac:dyDescent="0.3">
      <c r="H39" s="160" t="s">
        <v>276</v>
      </c>
      <c r="I39" s="160">
        <v>88</v>
      </c>
    </row>
    <row r="40" spans="2:9" x14ac:dyDescent="0.3">
      <c r="F40" s="160">
        <v>9</v>
      </c>
      <c r="G40" s="160" t="s">
        <v>277</v>
      </c>
      <c r="H40" s="160" t="s">
        <v>278</v>
      </c>
      <c r="I40" s="160">
        <v>200</v>
      </c>
    </row>
    <row r="41" spans="2:9" x14ac:dyDescent="0.3">
      <c r="H41" s="160" t="s">
        <v>279</v>
      </c>
      <c r="I41" s="160">
        <v>100</v>
      </c>
    </row>
    <row r="42" spans="2:9" x14ac:dyDescent="0.3">
      <c r="H42" s="160" t="s">
        <v>280</v>
      </c>
      <c r="I42" s="160">
        <v>50</v>
      </c>
    </row>
    <row r="43" spans="2:9" x14ac:dyDescent="0.3">
      <c r="H43" s="160" t="s">
        <v>281</v>
      </c>
      <c r="I43" s="160">
        <v>25</v>
      </c>
    </row>
    <row r="44" spans="2:9" x14ac:dyDescent="0.3">
      <c r="H44" s="160" t="s">
        <v>282</v>
      </c>
      <c r="I44" s="160">
        <v>0</v>
      </c>
    </row>
    <row r="45" spans="2:9" x14ac:dyDescent="0.3">
      <c r="F45" s="160">
        <v>10</v>
      </c>
      <c r="G45" s="160" t="s">
        <v>188</v>
      </c>
    </row>
    <row r="46" spans="2:9" x14ac:dyDescent="0.3">
      <c r="G46" s="160" t="s">
        <v>189</v>
      </c>
      <c r="H46" s="160" t="s">
        <v>190</v>
      </c>
      <c r="I46" s="160">
        <v>173</v>
      </c>
    </row>
    <row r="47" spans="2:9" x14ac:dyDescent="0.3">
      <c r="H47" s="160" t="s">
        <v>191</v>
      </c>
      <c r="I47" s="160">
        <v>100</v>
      </c>
    </row>
    <row r="48" spans="2:9" x14ac:dyDescent="0.3">
      <c r="H48" s="160" t="s">
        <v>192</v>
      </c>
      <c r="I48" s="160">
        <v>50</v>
      </c>
    </row>
    <row r="49" spans="7:9" x14ac:dyDescent="0.3">
      <c r="H49" s="160" t="s">
        <v>193</v>
      </c>
    </row>
    <row r="50" spans="7:9" x14ac:dyDescent="0.3">
      <c r="H50" s="160" t="s">
        <v>194</v>
      </c>
      <c r="I50" s="160">
        <v>20</v>
      </c>
    </row>
    <row r="51" spans="7:9" x14ac:dyDescent="0.3">
      <c r="H51" s="160" t="s">
        <v>195</v>
      </c>
      <c r="I51" s="160">
        <v>0</v>
      </c>
    </row>
    <row r="52" spans="7:9" x14ac:dyDescent="0.3">
      <c r="H52" s="160" t="s">
        <v>196</v>
      </c>
    </row>
    <row r="53" spans="7:9" x14ac:dyDescent="0.3">
      <c r="H53" s="160" t="s">
        <v>197</v>
      </c>
    </row>
    <row r="54" spans="7:9" x14ac:dyDescent="0.3">
      <c r="H54" s="160" t="s">
        <v>198</v>
      </c>
    </row>
    <row r="55" spans="7:9" x14ac:dyDescent="0.3">
      <c r="H55" s="160" t="s">
        <v>199</v>
      </c>
    </row>
    <row r="56" spans="7:9" x14ac:dyDescent="0.3">
      <c r="G56" s="160" t="s">
        <v>283</v>
      </c>
      <c r="I56" s="160">
        <v>173</v>
      </c>
    </row>
  </sheetData>
  <pageMargins left="0.7" right="0.7" top="0.75" bottom="0.75" header="0.3" footer="0.3"/>
  <pageSetup paperSize="9" orientation="portrait" verticalDpi="0" r:id="rId1"/>
  <headerFooter>
    <oddHeader>&amp;R&amp;"Calibri"&amp;10&amp;KFF0000КОНФІДЕНЦІЙНА ІНФОРМАЦІЯ&amp;1#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DB055CB0B745FA438D65E63B2A65B963" ma:contentTypeVersion="15" ma:contentTypeDescription="Створення нового документа." ma:contentTypeScope="" ma:versionID="ef86b140e5affa8d0e646ec7d81c63d7">
  <xsd:schema xmlns:xsd="http://www.w3.org/2001/XMLSchema" xmlns:xs="http://www.w3.org/2001/XMLSchema" xmlns:p="http://schemas.microsoft.com/office/2006/metadata/properties" xmlns:ns2="971aa921-a7c0-4e88-a487-cd0867606cfe" xmlns:ns3="60b923bd-8e39-4575-a5c2-829114d4a3cf" targetNamespace="http://schemas.microsoft.com/office/2006/metadata/properties" ma:root="true" ma:fieldsID="1223c4015c1a76aee5042fb78dd20158" ns2:_="" ns3:_="">
    <xsd:import namespace="971aa921-a7c0-4e88-a487-cd0867606cfe"/>
    <xsd:import namespace="60b923bd-8e39-4575-a5c2-829114d4a3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1aa921-a7c0-4e88-a487-cd0867606c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Теги зображень" ma:readOnly="false" ma:fieldId="{5cf76f15-5ced-4ddc-b409-7134ff3c332f}" ma:taxonomyMulti="true" ma:sspId="305c0940-a45f-4cf1-ad65-41dec1f6f7e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b923bd-8e39-4575-a5c2-829114d4a3cf" elementFormDefault="qualified">
    <xsd:import namespace="http://schemas.microsoft.com/office/2006/documentManagement/types"/>
    <xsd:import namespace="http://schemas.microsoft.com/office/infopath/2007/PartnerControls"/>
    <xsd:element name="SharedWithUsers" ma:index="1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Відомості про тих, хто має доступ" ma:internalName="SharedWithDetails" ma:readOnly="true">
      <xsd:simpleType>
        <xsd:restriction base="dms:Note">
          <xsd:maxLength value="255"/>
        </xsd:restriction>
      </xsd:simpleType>
    </xsd:element>
    <xsd:element name="TaxCatchAll" ma:index="20" nillable="true" ma:displayName="Taxonomy Catch All Column" ma:hidden="true" ma:list="{b168ba21-c941-4486-95c0-adbc6c019343}" ma:internalName="TaxCatchAll" ma:showField="CatchAllData" ma:web="60b923bd-8e39-4575-a5c2-829114d4a3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0b923bd-8e39-4575-a5c2-829114d4a3cf" xsi:nil="true"/>
    <lcf76f155ced4ddcb4097134ff3c332f xmlns="971aa921-a7c0-4e88-a487-cd0867606cf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DF507F6-2E4A-4C53-88CE-5149DA08E6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1aa921-a7c0-4e88-a487-cd0867606cfe"/>
    <ds:schemaRef ds:uri="60b923bd-8e39-4575-a5c2-829114d4a3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20C20-C61A-4C8F-A9B0-2A22BB039B9C}">
  <ds:schemaRefs>
    <ds:schemaRef ds:uri="http://schemas.microsoft.com/sharepoint/v3/contenttype/forms"/>
  </ds:schemaRefs>
</ds:datastoreItem>
</file>

<file path=customXml/itemProps3.xml><?xml version="1.0" encoding="utf-8"?>
<ds:datastoreItem xmlns:ds="http://schemas.openxmlformats.org/officeDocument/2006/customXml" ds:itemID="{23F749FD-024B-4F5A-9BEF-86D67F8F63AB}">
  <ds:schemaRefs>
    <ds:schemaRef ds:uri="http://schemas.microsoft.com/office/2006/metadata/properties"/>
    <ds:schemaRef ds:uri="http://schemas.microsoft.com/office/infopath/2007/PartnerControls"/>
    <ds:schemaRef ds:uri="60b923bd-8e39-4575-a5c2-829114d4a3cf"/>
    <ds:schemaRef ds:uri="971aa921-a7c0-4e88-a487-cd0867606cf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10</vt:i4>
      </vt:variant>
      <vt:variant>
        <vt:lpstr>Іменовані діапазони</vt:lpstr>
      </vt:variant>
      <vt:variant>
        <vt:i4>2</vt:i4>
      </vt:variant>
    </vt:vector>
  </HeadingPairs>
  <TitlesOfParts>
    <vt:vector size="12" baseType="lpstr">
      <vt:lpstr>Платоспроможність боржника</vt:lpstr>
      <vt:lpstr>Ануїтетна_графік_Іпотека</vt:lpstr>
      <vt:lpstr>Ануїтетна_графік_Авто</vt:lpstr>
      <vt:lpstr>Калькулятор </vt:lpstr>
      <vt:lpstr>Калькулятор</vt:lpstr>
      <vt:lpstr>Калькулятор (реал. ставка)</vt:lpstr>
      <vt:lpstr>Платоспроможність поручителя</vt:lpstr>
      <vt:lpstr>Доступна сума</vt:lpstr>
      <vt:lpstr>коефіцієнт витрат</vt:lpstr>
      <vt:lpstr>Таблиця МП_БВС</vt:lpstr>
      <vt:lpstr>Калькулятор!Область_друку</vt:lpstr>
      <vt:lpstr>'Калькулятор '!Область_друку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Білокриницька Марія Станіславівна</dc:creator>
  <cp:lastModifiedBy>Черних-Радюк Анастасія Борисівна</cp:lastModifiedBy>
  <dcterms:created xsi:type="dcterms:W3CDTF">2015-06-05T18:17:20Z</dcterms:created>
  <dcterms:modified xsi:type="dcterms:W3CDTF">2026-06-08T12:44:04Z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4487725-fc80-4589-a4ba-45051c31b71e_Enabled">
    <vt:lpwstr>true</vt:lpwstr>
  </property>
  <property fmtid="{D5CDD505-2E9C-101B-9397-08002B2CF9AE}" pid="3" name="MSIP_Label_94487725-fc80-4589-a4ba-45051c31b71e_SetDate">
    <vt:lpwstr>2023-05-01T14:09:06Z</vt:lpwstr>
  </property>
  <property fmtid="{D5CDD505-2E9C-101B-9397-08002B2CF9AE}" pid="4" name="MSIP_Label_94487725-fc80-4589-a4ba-45051c31b71e_Method">
    <vt:lpwstr>Privileged</vt:lpwstr>
  </property>
  <property fmtid="{D5CDD505-2E9C-101B-9397-08002B2CF9AE}" pid="5" name="MSIP_Label_94487725-fc80-4589-a4ba-45051c31b71e_Name">
    <vt:lpwstr>Конфіденційна інформація (v3)</vt:lpwstr>
  </property>
  <property fmtid="{D5CDD505-2E9C-101B-9397-08002B2CF9AE}" pid="6" name="MSIP_Label_94487725-fc80-4589-a4ba-45051c31b71e_SiteId">
    <vt:lpwstr>b39a729c-a0aa-4f10-9882-f542c55abba7</vt:lpwstr>
  </property>
  <property fmtid="{D5CDD505-2E9C-101B-9397-08002B2CF9AE}" pid="7" name="MSIP_Label_94487725-fc80-4589-a4ba-45051c31b71e_ActionId">
    <vt:lpwstr>68040c82-17d3-4185-98c7-63c71938d0f2</vt:lpwstr>
  </property>
  <property fmtid="{D5CDD505-2E9C-101B-9397-08002B2CF9AE}" pid="8" name="MSIP_Label_94487725-fc80-4589-a4ba-45051c31b71e_ContentBits">
    <vt:lpwstr>1</vt:lpwstr>
  </property>
  <property fmtid="{D5CDD505-2E9C-101B-9397-08002B2CF9AE}" pid="9" name="ContentTypeId">
    <vt:lpwstr>0x010100DB055CB0B745FA438D65E63B2A65B963</vt:lpwstr>
  </property>
</Properties>
</file>