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 codeName="{4D1C537B-E38A-612A-F078-A93A15B4B7F4}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https://kredobank-my.sharepoint.com/personal/rikuzo_kredobank_com_ua/Documents/Робочий стіл/"/>
    </mc:Choice>
  </mc:AlternateContent>
  <xr:revisionPtr revIDLastSave="0" documentId="8_{DE6CDC18-173C-48BE-A830-1CE6A8016716}" xr6:coauthVersionLast="47" xr6:coauthVersionMax="47" xr10:uidLastSave="{00000000-0000-0000-0000-000000000000}"/>
  <workbookProtection workbookAlgorithmName="SHA-512" workbookHashValue="v8nNP9yejTRurc7xqN2exV+5rIq0nSfo7xCvC65v0hbtN8ur8HpRtf5pSZEeOq01TW3bgg1UljEmkooJ1RSJvw==" workbookSaltValue="8uDoW/eMoDB1d1eQPAWWdw==" workbookSpinCount="100000" lockStructure="1"/>
  <bookViews>
    <workbookView xWindow="-120" yWindow="-120" windowWidth="29040" windowHeight="15990" tabRatio="793" xr2:uid="{00000000-000D-0000-FFFF-FFFF00000000}"/>
  </bookViews>
  <sheets>
    <sheet name="Авто_Калькулятор" sheetId="2" r:id="rId1"/>
    <sheet name="Аркуш1" sheetId="3" state="hidden" r:id="rId2"/>
  </sheets>
  <definedNames>
    <definedName name="_xlnm._FilterDatabase" localSheetId="1" hidden="1">Аркуш1!$A$2:$M$22</definedName>
    <definedName name="avto">#REF!</definedName>
    <definedName name="format">#REF!,#REF!,#REF!,#REF!,#REF!,#REF!</definedName>
    <definedName name="Z_4C1579FF_9512_4037_BEB2_F3CE00C3060A_.wvu.Cols" localSheetId="0" hidden="1">Авто_Калькулятор!#REF!</definedName>
    <definedName name="Z_4C1579FF_9512_4037_BEB2_F3CE00C3060A_.wvu.PrintArea" localSheetId="0" hidden="1">Авто_Калькулятор!$A$1:$N$111</definedName>
    <definedName name="ззз">#REF!</definedName>
    <definedName name="_xlnm.Print_Area" localSheetId="0">Авто_Калькулятор!$A$1:$N$68</definedName>
    <definedName name="фмещ">#REF!</definedName>
  </definedNames>
  <calcPr calcId="191029"/>
  <customWorkbookViews>
    <customWorkbookView name="Вірун Олена Вячеславівна - Особисте подання" guid="{4C1579FF-9512-4037-BEB2-F3CE00C3060A}" mergeInterval="0" personalView="1" maximized="1" windowWidth="1276" windowHeight="671" tabRatio="793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2" l="1"/>
  <c r="AG89" i="2" l="1"/>
  <c r="E2" i="2"/>
  <c r="U33" i="2"/>
  <c r="N14" i="2" s="1"/>
  <c r="X2" i="2" l="1"/>
  <c r="AM16" i="2"/>
  <c r="AM28" i="2"/>
  <c r="AM76" i="2"/>
  <c r="AM64" i="2"/>
  <c r="AM52" i="2"/>
  <c r="AM40" i="2"/>
  <c r="AI87" i="2" l="1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L122" i="3" l="1"/>
  <c r="L130" i="3" l="1"/>
  <c r="L32" i="3"/>
  <c r="L40" i="3" l="1"/>
  <c r="N12" i="2" l="1"/>
  <c r="R26" i="3" l="1"/>
  <c r="L199" i="3"/>
  <c r="R27" i="3" l="1"/>
  <c r="R25" i="3"/>
  <c r="L190" i="3"/>
  <c r="V3" i="2" l="1"/>
  <c r="W3" i="2"/>
  <c r="X3" i="2"/>
  <c r="L138" i="3" l="1"/>
  <c r="L65" i="3"/>
  <c r="AO16" i="2" l="1"/>
  <c r="AO28" i="2" l="1"/>
  <c r="N8" i="2" s="1"/>
  <c r="R18" i="3" l="1"/>
  <c r="L181" i="3"/>
  <c r="L12" i="3"/>
  <c r="L49" i="3" l="1"/>
  <c r="L161" i="3" l="1"/>
  <c r="L80" i="3"/>
  <c r="L72" i="3"/>
  <c r="L114" i="3" l="1"/>
  <c r="R24" i="3" l="1"/>
  <c r="R23" i="3"/>
  <c r="R22" i="3"/>
  <c r="L169" i="3"/>
  <c r="L155" i="3"/>
  <c r="R21" i="3"/>
  <c r="R20" i="3"/>
  <c r="R19" i="3"/>
  <c r="W2" i="2" l="1"/>
  <c r="W4" i="2" l="1"/>
  <c r="V4" i="2"/>
  <c r="X4" i="2" l="1"/>
  <c r="N2" i="2" s="1"/>
  <c r="N4" i="2" l="1"/>
  <c r="R16" i="2"/>
  <c r="V23" i="2"/>
  <c r="R17" i="3"/>
  <c r="R16" i="3"/>
  <c r="L8" i="2" s="1"/>
  <c r="R15" i="3"/>
  <c r="R14" i="3"/>
  <c r="R13" i="3"/>
  <c r="R12" i="3"/>
  <c r="L106" i="3"/>
  <c r="L4" i="3"/>
  <c r="L24" i="3"/>
  <c r="L56" i="3"/>
  <c r="L88" i="3"/>
  <c r="L97" i="3"/>
  <c r="M204" i="3" l="1"/>
  <c r="M198" i="3"/>
  <c r="B4" i="2" s="1"/>
  <c r="K199" i="3" s="1"/>
  <c r="M145" i="3"/>
  <c r="M79" i="3"/>
  <c r="M87" i="3"/>
  <c r="M39" i="3"/>
  <c r="M48" i="3"/>
  <c r="M160" i="3"/>
  <c r="M3" i="3"/>
  <c r="M20" i="3"/>
  <c r="M189" i="3"/>
  <c r="M180" i="3"/>
  <c r="M11" i="3"/>
  <c r="M129" i="3"/>
  <c r="M55" i="3"/>
  <c r="M177" i="3"/>
  <c r="M154" i="3"/>
  <c r="M64" i="3"/>
  <c r="M137" i="3"/>
  <c r="M168" i="3"/>
  <c r="V19" i="2"/>
  <c r="R7" i="3" l="1"/>
  <c r="R8" i="3"/>
  <c r="R9" i="3"/>
  <c r="R10" i="3"/>
  <c r="R11" i="3"/>
  <c r="R2" i="3"/>
  <c r="R3" i="3"/>
  <c r="R4" i="3"/>
  <c r="R5" i="3"/>
  <c r="R6" i="3"/>
  <c r="Q24" i="2" l="1"/>
  <c r="Q25" i="2" s="1"/>
  <c r="AC26" i="2"/>
  <c r="AC27" i="2" s="1"/>
  <c r="AC28" i="2" s="1"/>
  <c r="AC29" i="2" s="1"/>
  <c r="AC30" i="2" s="1"/>
  <c r="AC31" i="2" s="1"/>
  <c r="AC32" i="2" s="1"/>
  <c r="AC33" i="2" s="1"/>
  <c r="AC34" i="2" s="1"/>
  <c r="AC35" i="2" s="1"/>
  <c r="AC36" i="2" s="1"/>
  <c r="AC37" i="2" s="1"/>
  <c r="AC38" i="2" s="1"/>
  <c r="AC39" i="2" s="1"/>
  <c r="AC40" i="2" s="1"/>
  <c r="AC41" i="2" s="1"/>
  <c r="AC42" i="2" s="1"/>
  <c r="AC43" i="2" s="1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C63" i="2" s="1"/>
  <c r="AC64" i="2" s="1"/>
  <c r="AC65" i="2" s="1"/>
  <c r="AC66" i="2" s="1"/>
  <c r="AC67" i="2" s="1"/>
  <c r="AC68" i="2" s="1"/>
  <c r="AC69" i="2" s="1"/>
  <c r="AC70" i="2" s="1"/>
  <c r="AC71" i="2" s="1"/>
  <c r="AC72" i="2" s="1"/>
  <c r="AC73" i="2" s="1"/>
  <c r="AC74" i="2" s="1"/>
  <c r="AC75" i="2" s="1"/>
  <c r="AC76" i="2" s="1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B4" i="2"/>
  <c r="R20" i="2"/>
  <c r="AB5" i="2" l="1"/>
  <c r="V21" i="2"/>
  <c r="V20" i="2"/>
  <c r="AB6" i="2" l="1"/>
  <c r="M113" i="3"/>
  <c r="M23" i="3"/>
  <c r="M31" i="3"/>
  <c r="M96" i="3"/>
  <c r="M105" i="3"/>
  <c r="M71" i="3"/>
  <c r="M121" i="3"/>
  <c r="K201" i="3" l="1"/>
  <c r="K202" i="3"/>
  <c r="K200" i="3"/>
  <c r="K90" i="3"/>
  <c r="K89" i="3"/>
  <c r="K88" i="3"/>
  <c r="K91" i="3"/>
  <c r="Q51" i="2"/>
  <c r="K92" i="3"/>
  <c r="Q52" i="2"/>
  <c r="K93" i="3"/>
  <c r="Q53" i="2"/>
  <c r="K94" i="3"/>
  <c r="Q54" i="2"/>
  <c r="K9" i="3"/>
  <c r="K8" i="3"/>
  <c r="K5" i="3"/>
  <c r="K6" i="3"/>
  <c r="K7" i="3"/>
  <c r="K4" i="3"/>
  <c r="K34" i="3"/>
  <c r="K163" i="3"/>
  <c r="K33" i="3"/>
  <c r="K162" i="3"/>
  <c r="K36" i="3"/>
  <c r="K35" i="3"/>
  <c r="K164" i="3"/>
  <c r="K207" i="3"/>
  <c r="K165" i="3"/>
  <c r="K32" i="3"/>
  <c r="K206" i="3"/>
  <c r="K209" i="3"/>
  <c r="K205" i="3"/>
  <c r="K208" i="3"/>
  <c r="K161" i="3"/>
  <c r="L205" i="3" a="1"/>
  <c r="L205" i="3" s="1"/>
  <c r="R12" i="2" s="1"/>
  <c r="N10" i="2" s="1"/>
  <c r="B205" i="3"/>
  <c r="B207" i="3"/>
  <c r="B206" i="3"/>
  <c r="B208" i="3"/>
  <c r="B209" i="3"/>
  <c r="K72" i="3"/>
  <c r="K21" i="3"/>
  <c r="K181" i="3"/>
  <c r="K107" i="3"/>
  <c r="K44" i="3"/>
  <c r="K13" i="3"/>
  <c r="K17" i="3"/>
  <c r="K106" i="3"/>
  <c r="K69" i="3"/>
  <c r="K43" i="3"/>
  <c r="K57" i="3"/>
  <c r="K127" i="3"/>
  <c r="K16" i="3"/>
  <c r="K126" i="3"/>
  <c r="K15" i="3"/>
  <c r="K67" i="3"/>
  <c r="K125" i="3"/>
  <c r="K60" i="3"/>
  <c r="K68" i="3"/>
  <c r="K42" i="3"/>
  <c r="K58" i="3"/>
  <c r="K14" i="3"/>
  <c r="K131" i="3"/>
  <c r="K66" i="3"/>
  <c r="K110" i="3"/>
  <c r="K65" i="3"/>
  <c r="K61" i="3"/>
  <c r="K123" i="3"/>
  <c r="K45" i="3"/>
  <c r="K111" i="3"/>
  <c r="K41" i="3"/>
  <c r="K40" i="3"/>
  <c r="K109" i="3"/>
  <c r="K56" i="3"/>
  <c r="K62" i="3"/>
  <c r="K122" i="3"/>
  <c r="K108" i="3"/>
  <c r="K130" i="3"/>
  <c r="K59" i="3"/>
  <c r="K124" i="3"/>
  <c r="K149" i="3"/>
  <c r="B152" i="3"/>
  <c r="K135" i="3"/>
  <c r="K146" i="3"/>
  <c r="K152" i="3"/>
  <c r="K151" i="3"/>
  <c r="K150" i="3"/>
  <c r="B151" i="3"/>
  <c r="B147" i="3"/>
  <c r="B148" i="3"/>
  <c r="B150" i="3"/>
  <c r="B149" i="3"/>
  <c r="K132" i="3"/>
  <c r="K133" i="3"/>
  <c r="K134" i="3"/>
  <c r="K147" i="3"/>
  <c r="K148" i="3"/>
  <c r="K46" i="3"/>
  <c r="B46" i="3"/>
  <c r="K190" i="3"/>
  <c r="B165" i="3"/>
  <c r="B166" i="3"/>
  <c r="B53" i="3"/>
  <c r="K53" i="3"/>
  <c r="K37" i="3"/>
  <c r="B199" i="3"/>
  <c r="B200" i="3"/>
  <c r="B201" i="3"/>
  <c r="B202" i="3"/>
  <c r="T3" i="2"/>
  <c r="U4" i="2" s="1"/>
  <c r="AB7" i="2"/>
  <c r="B203" i="3" l="1"/>
  <c r="Q50" i="2"/>
  <c r="T8" i="2" s="1"/>
  <c r="K95" i="3"/>
  <c r="K210" i="3"/>
  <c r="B210" i="3"/>
  <c r="K10" i="3"/>
  <c r="K63" i="3"/>
  <c r="K153" i="3"/>
  <c r="K47" i="3"/>
  <c r="K38" i="3"/>
  <c r="K203" i="3"/>
  <c r="K174" i="3"/>
  <c r="B196" i="3"/>
  <c r="K191" i="3"/>
  <c r="B195" i="3"/>
  <c r="B194" i="3"/>
  <c r="K193" i="3"/>
  <c r="K194" i="3"/>
  <c r="B192" i="3"/>
  <c r="B191" i="3"/>
  <c r="K192" i="3"/>
  <c r="B193" i="3"/>
  <c r="K195" i="3"/>
  <c r="K178" i="3"/>
  <c r="K179" i="3" s="1"/>
  <c r="K196" i="3"/>
  <c r="B190" i="3"/>
  <c r="B57" i="3"/>
  <c r="B80" i="3"/>
  <c r="B28" i="3"/>
  <c r="B61" i="3"/>
  <c r="K155" i="3"/>
  <c r="B108" i="3"/>
  <c r="B43" i="3"/>
  <c r="B156" i="3"/>
  <c r="B73" i="3"/>
  <c r="B7" i="3"/>
  <c r="B126" i="3"/>
  <c r="B17" i="3"/>
  <c r="B98" i="3"/>
  <c r="B5" i="3"/>
  <c r="K26" i="3"/>
  <c r="B8" i="3"/>
  <c r="B102" i="3"/>
  <c r="B40" i="3"/>
  <c r="K100" i="3"/>
  <c r="B18" i="3"/>
  <c r="B27" i="3"/>
  <c r="B13" i="3"/>
  <c r="B174" i="3"/>
  <c r="B81" i="3"/>
  <c r="B16" i="3"/>
  <c r="B49" i="3"/>
  <c r="B134" i="3"/>
  <c r="K99" i="3"/>
  <c r="B94" i="3"/>
  <c r="B50" i="3"/>
  <c r="B12" i="3"/>
  <c r="K119" i="3"/>
  <c r="K85" i="3"/>
  <c r="B133" i="3"/>
  <c r="K139" i="3"/>
  <c r="B24" i="3"/>
  <c r="B82" i="3"/>
  <c r="B122" i="3"/>
  <c r="B76" i="3"/>
  <c r="B99" i="3"/>
  <c r="K24" i="3"/>
  <c r="B103" i="3"/>
  <c r="B44" i="3"/>
  <c r="B75" i="3"/>
  <c r="B88" i="3"/>
  <c r="B14" i="3"/>
  <c r="B29" i="3"/>
  <c r="B178" i="3"/>
  <c r="B179" i="3" s="1"/>
  <c r="B170" i="3"/>
  <c r="B162" i="3"/>
  <c r="B142" i="3"/>
  <c r="K52" i="3"/>
  <c r="K187" i="3"/>
  <c r="K184" i="3"/>
  <c r="K18" i="3"/>
  <c r="K83" i="3"/>
  <c r="K169" i="3"/>
  <c r="B56" i="3"/>
  <c r="B42" i="3"/>
  <c r="B66" i="3"/>
  <c r="B15" i="3"/>
  <c r="B59" i="3"/>
  <c r="B127" i="3"/>
  <c r="B97" i="3"/>
  <c r="B125" i="3"/>
  <c r="B45" i="3"/>
  <c r="B21" i="3"/>
  <c r="B22" i="3" s="1"/>
  <c r="B68" i="3"/>
  <c r="B36" i="3"/>
  <c r="K97" i="3"/>
  <c r="B123" i="3"/>
  <c r="B163" i="3"/>
  <c r="B158" i="3"/>
  <c r="B141" i="3"/>
  <c r="K157" i="3"/>
  <c r="K80" i="3"/>
  <c r="K74" i="3"/>
  <c r="K51" i="3"/>
  <c r="B183" i="3"/>
  <c r="K138" i="3"/>
  <c r="K171" i="3"/>
  <c r="K118" i="3"/>
  <c r="B116" i="3"/>
  <c r="K182" i="3"/>
  <c r="B143" i="3"/>
  <c r="K156" i="3"/>
  <c r="K102" i="3"/>
  <c r="B33" i="3"/>
  <c r="B171" i="3"/>
  <c r="B51" i="3"/>
  <c r="B32" i="3"/>
  <c r="B67" i="3"/>
  <c r="B91" i="3"/>
  <c r="B6" i="3"/>
  <c r="B157" i="3"/>
  <c r="B164" i="3"/>
  <c r="K117" i="3"/>
  <c r="K76" i="3"/>
  <c r="K175" i="3"/>
  <c r="K103" i="3"/>
  <c r="B109" i="3"/>
  <c r="B110" i="3"/>
  <c r="B89" i="3"/>
  <c r="B35" i="3"/>
  <c r="B155" i="3"/>
  <c r="B173" i="3"/>
  <c r="B114" i="3"/>
  <c r="K116" i="3"/>
  <c r="K142" i="3"/>
  <c r="B106" i="3"/>
  <c r="B101" i="3"/>
  <c r="B69" i="3"/>
  <c r="B41" i="3"/>
  <c r="B124" i="3"/>
  <c r="B77" i="3"/>
  <c r="K29" i="3"/>
  <c r="B93" i="3"/>
  <c r="B100" i="3"/>
  <c r="B175" i="3"/>
  <c r="B115" i="3"/>
  <c r="B132" i="3"/>
  <c r="B139" i="3"/>
  <c r="B169" i="3"/>
  <c r="K115" i="3"/>
  <c r="B135" i="3"/>
  <c r="B181" i="3"/>
  <c r="K82" i="3"/>
  <c r="K141" i="3"/>
  <c r="K172" i="3"/>
  <c r="K77" i="3"/>
  <c r="B52" i="3"/>
  <c r="B107" i="3"/>
  <c r="B119" i="3"/>
  <c r="B25" i="3"/>
  <c r="B62" i="3"/>
  <c r="B131" i="3"/>
  <c r="B140" i="3"/>
  <c r="K50" i="3"/>
  <c r="B187" i="3"/>
  <c r="B184" i="3"/>
  <c r="K143" i="3"/>
  <c r="B92" i="3"/>
  <c r="B85" i="3"/>
  <c r="B118" i="3"/>
  <c r="B37" i="3"/>
  <c r="B84" i="3"/>
  <c r="B117" i="3"/>
  <c r="B9" i="3"/>
  <c r="K186" i="3"/>
  <c r="K183" i="3"/>
  <c r="B182" i="3"/>
  <c r="K173" i="3"/>
  <c r="B65" i="3"/>
  <c r="K25" i="3"/>
  <c r="B111" i="3"/>
  <c r="B26" i="3"/>
  <c r="K27" i="3"/>
  <c r="B58" i="3"/>
  <c r="B60" i="3"/>
  <c r="B4" i="3"/>
  <c r="B83" i="3"/>
  <c r="K101" i="3"/>
  <c r="B74" i="3"/>
  <c r="K28" i="3"/>
  <c r="B72" i="3"/>
  <c r="K22" i="3"/>
  <c r="B34" i="3"/>
  <c r="K98" i="3"/>
  <c r="B90" i="3"/>
  <c r="B146" i="3"/>
  <c r="B153" i="3" s="1"/>
  <c r="B130" i="3"/>
  <c r="B138" i="3"/>
  <c r="B161" i="3"/>
  <c r="K114" i="3"/>
  <c r="K75" i="3"/>
  <c r="K73" i="3"/>
  <c r="B186" i="3"/>
  <c r="K84" i="3"/>
  <c r="K140" i="3"/>
  <c r="K170" i="3"/>
  <c r="B172" i="3"/>
  <c r="K158" i="3"/>
  <c r="K49" i="3"/>
  <c r="K12" i="3"/>
  <c r="B185" i="3"/>
  <c r="K185" i="3"/>
  <c r="K81" i="3"/>
  <c r="AB8" i="2"/>
  <c r="AB9" i="2" s="1"/>
  <c r="AB10" i="2" s="1"/>
  <c r="AB11" i="2" s="1"/>
  <c r="AB12" i="2" s="1"/>
  <c r="AB13" i="2" s="1"/>
  <c r="AB14" i="2" s="1"/>
  <c r="AB15" i="2" s="1"/>
  <c r="AB16" i="2" s="1"/>
  <c r="R13" i="2"/>
  <c r="B95" i="3" l="1"/>
  <c r="B10" i="3"/>
  <c r="B63" i="3"/>
  <c r="B47" i="3"/>
  <c r="K54" i="3"/>
  <c r="B167" i="3"/>
  <c r="K167" i="3"/>
  <c r="S33" i="2" s="1"/>
  <c r="B54" i="3"/>
  <c r="B19" i="3"/>
  <c r="B197" i="3"/>
  <c r="K197" i="3"/>
  <c r="B159" i="3"/>
  <c r="K159" i="3"/>
  <c r="K128" i="3"/>
  <c r="K30" i="3"/>
  <c r="K112" i="3"/>
  <c r="K144" i="3"/>
  <c r="B70" i="3"/>
  <c r="K120" i="3"/>
  <c r="B128" i="3"/>
  <c r="B30" i="3"/>
  <c r="B86" i="3"/>
  <c r="K176" i="3"/>
  <c r="B176" i="3"/>
  <c r="B104" i="3"/>
  <c r="B188" i="3"/>
  <c r="K19" i="3"/>
  <c r="B38" i="3"/>
  <c r="B144" i="3"/>
  <c r="K78" i="3"/>
  <c r="K104" i="3"/>
  <c r="K136" i="3"/>
  <c r="K86" i="3"/>
  <c r="B78" i="3"/>
  <c r="K188" i="3"/>
  <c r="K70" i="3"/>
  <c r="B112" i="3"/>
  <c r="B136" i="3"/>
  <c r="B120" i="3"/>
  <c r="AB17" i="2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X18" i="2"/>
  <c r="AB53" i="2" l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R33" i="2"/>
  <c r="E14" i="2" l="1"/>
  <c r="U8" i="2"/>
  <c r="N6" i="2" l="1"/>
  <c r="AK3" i="2" s="1"/>
  <c r="AL8" i="2"/>
  <c r="AL12" i="2"/>
  <c r="AL5" i="2"/>
  <c r="AL4" i="2"/>
  <c r="AG4" i="2" s="1"/>
  <c r="AE4" i="2" s="1"/>
  <c r="AP4" i="2" s="1"/>
  <c r="AL13" i="2"/>
  <c r="AL10" i="2"/>
  <c r="AL9" i="2"/>
  <c r="AL7" i="2"/>
  <c r="AL11" i="2"/>
  <c r="AL14" i="2"/>
  <c r="AL15" i="2"/>
  <c r="AL6" i="2"/>
  <c r="AL49" i="2"/>
  <c r="AL71" i="2"/>
  <c r="AL67" i="2"/>
  <c r="AL22" i="2"/>
  <c r="AL80" i="2"/>
  <c r="AL43" i="2"/>
  <c r="AL85" i="2"/>
  <c r="AL30" i="2"/>
  <c r="AL60" i="2"/>
  <c r="AL68" i="2"/>
  <c r="AL63" i="2"/>
  <c r="AL61" i="2"/>
  <c r="AL82" i="2"/>
  <c r="AL37" i="2"/>
  <c r="AL26" i="2"/>
  <c r="AL86" i="2"/>
  <c r="AL54" i="2"/>
  <c r="AL44" i="2"/>
  <c r="AL38" i="2"/>
  <c r="AL27" i="2"/>
  <c r="AL52" i="2"/>
  <c r="AL65" i="2"/>
  <c r="AL40" i="2"/>
  <c r="AL79" i="2"/>
  <c r="AL75" i="2"/>
  <c r="AL69" i="2"/>
  <c r="AL35" i="2"/>
  <c r="AL34" i="2"/>
  <c r="AL36" i="2"/>
  <c r="AL77" i="2"/>
  <c r="AL46" i="2"/>
  <c r="AL29" i="2"/>
  <c r="AL66" i="2"/>
  <c r="AL48" i="2"/>
  <c r="AL64" i="2"/>
  <c r="AL42" i="2"/>
  <c r="AL76" i="2"/>
  <c r="AL59" i="2"/>
  <c r="AL53" i="2"/>
  <c r="AL87" i="2"/>
  <c r="AL55" i="2"/>
  <c r="AL33" i="2"/>
  <c r="AL62" i="2"/>
  <c r="AL78" i="2"/>
  <c r="AL51" i="2"/>
  <c r="AL56" i="2"/>
  <c r="AL39" i="2"/>
  <c r="AL83" i="2"/>
  <c r="AL50" i="2"/>
  <c r="AL17" i="2"/>
  <c r="AL18" i="2"/>
  <c r="AL28" i="2"/>
  <c r="AL81" i="2"/>
  <c r="AL84" i="2"/>
  <c r="AL58" i="2"/>
  <c r="AL32" i="2"/>
  <c r="AL19" i="2"/>
  <c r="AL24" i="2"/>
  <c r="AL31" i="2"/>
  <c r="AL57" i="2"/>
  <c r="AL72" i="2"/>
  <c r="AL23" i="2"/>
  <c r="AL20" i="2"/>
  <c r="AL47" i="2"/>
  <c r="AL25" i="2"/>
  <c r="AL70" i="2"/>
  <c r="AL73" i="2"/>
  <c r="AL16" i="2"/>
  <c r="AL41" i="2"/>
  <c r="AL21" i="2"/>
  <c r="AL45" i="2"/>
  <c r="AL74" i="2"/>
  <c r="AN2" i="2"/>
  <c r="AM2" i="2"/>
  <c r="AG5" i="2" l="1"/>
  <c r="R15" i="2"/>
  <c r="AE89" i="2" l="1"/>
  <c r="AE88" i="2"/>
  <c r="AI89" i="2" l="1"/>
  <c r="AK89" i="2" s="1"/>
  <c r="AI90" i="2"/>
  <c r="AK90" i="2" s="1"/>
  <c r="AK4" i="2"/>
  <c r="AK5" i="2"/>
  <c r="AK6" i="2"/>
  <c r="AK7" i="2" l="1"/>
  <c r="AK8" i="2" l="1"/>
  <c r="AK9" i="2" l="1"/>
  <c r="AK10" i="2" l="1"/>
  <c r="AK11" i="2" l="1"/>
  <c r="AK12" i="2" l="1"/>
  <c r="AK13" i="2" l="1"/>
  <c r="AK14" i="2" l="1"/>
  <c r="AK15" i="2" l="1"/>
  <c r="AK16" i="2" l="1"/>
  <c r="AK17" i="2" l="1"/>
  <c r="AK18" i="2" l="1"/>
  <c r="AK19" i="2" l="1"/>
  <c r="AK20" i="2" l="1"/>
  <c r="AK21" i="2" l="1"/>
  <c r="AK22" i="2" l="1"/>
  <c r="AK23" i="2" l="1"/>
  <c r="AK24" i="2" l="1"/>
  <c r="AK25" i="2" l="1"/>
  <c r="AK26" i="2" l="1"/>
  <c r="AK27" i="2" l="1"/>
  <c r="AK28" i="2" l="1"/>
  <c r="AK29" i="2" l="1"/>
  <c r="AK30" i="2" l="1"/>
  <c r="AK31" i="2" l="1"/>
  <c r="AK32" i="2" l="1"/>
  <c r="AK33" i="2" l="1"/>
  <c r="AK34" i="2" l="1"/>
  <c r="AK35" i="2" l="1"/>
  <c r="AK36" i="2" l="1"/>
  <c r="AK37" i="2" l="1"/>
  <c r="AK38" i="2" l="1"/>
  <c r="AK39" i="2" l="1"/>
  <c r="AK40" i="2" l="1"/>
  <c r="AK41" i="2" l="1"/>
  <c r="AK42" i="2" l="1"/>
  <c r="AK43" i="2" l="1"/>
  <c r="AK44" i="2" l="1"/>
  <c r="AK45" i="2" l="1"/>
  <c r="AK46" i="2" l="1"/>
  <c r="AK47" i="2" l="1"/>
  <c r="AK48" i="2" l="1"/>
  <c r="AK49" i="2" l="1"/>
  <c r="AK50" i="2" l="1"/>
  <c r="AK51" i="2" l="1"/>
  <c r="AK52" i="2" l="1"/>
  <c r="AK53" i="2" l="1"/>
  <c r="AK54" i="2" l="1"/>
  <c r="AK55" i="2" l="1"/>
  <c r="AK56" i="2" l="1"/>
  <c r="AK57" i="2" l="1"/>
  <c r="AK58" i="2" l="1"/>
  <c r="AK59" i="2" l="1"/>
  <c r="AK60" i="2" l="1"/>
  <c r="AK61" i="2" l="1"/>
  <c r="AK62" i="2" l="1"/>
  <c r="AK63" i="2" l="1"/>
  <c r="AK64" i="2" l="1"/>
  <c r="AK65" i="2" l="1"/>
  <c r="AK66" i="2" l="1"/>
  <c r="AK67" i="2" l="1"/>
  <c r="AK68" i="2" l="1"/>
  <c r="AK69" i="2" l="1"/>
  <c r="AK70" i="2" l="1"/>
  <c r="AK71" i="2" l="1"/>
  <c r="AK72" i="2" l="1"/>
  <c r="AK73" i="2" l="1"/>
  <c r="AK74" i="2" l="1"/>
  <c r="AK75" i="2" l="1"/>
  <c r="AK76" i="2" l="1"/>
  <c r="AK77" i="2" l="1"/>
  <c r="AK78" i="2" l="1"/>
  <c r="AK79" i="2" l="1"/>
  <c r="AK80" i="2" l="1"/>
  <c r="AK81" i="2" l="1"/>
  <c r="AK82" i="2" l="1"/>
  <c r="AK83" i="2" l="1"/>
  <c r="AK84" i="2" l="1"/>
  <c r="AK85" i="2" l="1"/>
  <c r="AK87" i="2" l="1"/>
  <c r="AK86" i="2"/>
  <c r="AE5" i="2" l="1"/>
  <c r="AP5" i="2" s="1"/>
  <c r="AG6" i="2" l="1"/>
  <c r="AE6" i="2" s="1"/>
  <c r="AP6" i="2" s="1"/>
  <c r="AG7" i="2" s="1"/>
  <c r="AE7" i="2" l="1"/>
  <c r="AP7" i="2" l="1"/>
  <c r="AG8" i="2" l="1"/>
  <c r="AE8" i="2" l="1"/>
  <c r="AP8" i="2" l="1"/>
  <c r="AG9" i="2" l="1"/>
  <c r="AE9" i="2" l="1"/>
  <c r="AP9" i="2" l="1"/>
  <c r="AG10" i="2" l="1"/>
  <c r="AE10" i="2" l="1"/>
  <c r="AP10" i="2" l="1"/>
  <c r="AG11" i="2" l="1"/>
  <c r="AE11" i="2" l="1"/>
  <c r="AP11" i="2" l="1"/>
  <c r="AG12" i="2" l="1"/>
  <c r="AE12" i="2" s="1"/>
  <c r="AP12" i="2" s="1"/>
  <c r="AG13" i="2" l="1"/>
  <c r="AE13" i="2" s="1"/>
  <c r="AP13" i="2" s="1"/>
  <c r="AG14" i="2" l="1"/>
  <c r="AE14" i="2" s="1"/>
  <c r="AP14" i="2" s="1"/>
  <c r="AG15" i="2" l="1"/>
  <c r="AE15" i="2" s="1"/>
  <c r="AP15" i="2" s="1"/>
  <c r="AG16" i="2" l="1"/>
  <c r="AE16" i="2" s="1"/>
  <c r="AP16" i="2" s="1"/>
  <c r="AG17" i="2" l="1"/>
  <c r="AE17" i="2" s="1"/>
  <c r="AP17" i="2" s="1"/>
  <c r="AG18" i="2" l="1"/>
  <c r="AE18" i="2" s="1"/>
  <c r="AP18" i="2" s="1"/>
  <c r="AG19" i="2" l="1"/>
  <c r="AE19" i="2" s="1"/>
  <c r="AP19" i="2" s="1"/>
  <c r="AG20" i="2" l="1"/>
  <c r="AE20" i="2" s="1"/>
  <c r="AP20" i="2" s="1"/>
  <c r="AG21" i="2" l="1"/>
  <c r="AE21" i="2" s="1"/>
  <c r="AP21" i="2" s="1"/>
  <c r="AG22" i="2" l="1"/>
  <c r="AE22" i="2" s="1"/>
  <c r="AP22" i="2" s="1"/>
  <c r="AG23" i="2" l="1"/>
  <c r="AE23" i="2" s="1"/>
  <c r="AP23" i="2" s="1"/>
  <c r="AG24" i="2" l="1"/>
  <c r="AE24" i="2" s="1"/>
  <c r="AP24" i="2" s="1"/>
  <c r="AG25" i="2" l="1"/>
  <c r="AE25" i="2" s="1"/>
  <c r="AP25" i="2" s="1"/>
  <c r="AG26" i="2" l="1"/>
  <c r="AE26" i="2" s="1"/>
  <c r="AP26" i="2" s="1"/>
  <c r="AG27" i="2" l="1"/>
  <c r="AE27" i="2" s="1"/>
  <c r="AP27" i="2" s="1"/>
  <c r="AG28" i="2" l="1"/>
  <c r="AE28" i="2" s="1"/>
  <c r="AP28" i="2" s="1"/>
  <c r="AG29" i="2" l="1"/>
  <c r="AE29" i="2" s="1"/>
  <c r="AP29" i="2" s="1"/>
  <c r="AG30" i="2" l="1"/>
  <c r="AE30" i="2" s="1"/>
  <c r="AP30" i="2" s="1"/>
  <c r="AG31" i="2" l="1"/>
  <c r="AE31" i="2" s="1"/>
  <c r="AP31" i="2" s="1"/>
  <c r="AG32" i="2" l="1"/>
  <c r="AE32" i="2" s="1"/>
  <c r="AP32" i="2" s="1"/>
  <c r="AG33" i="2" l="1"/>
  <c r="AE33" i="2" s="1"/>
  <c r="AP33" i="2" s="1"/>
  <c r="AG34" i="2" l="1"/>
  <c r="AE34" i="2" s="1"/>
  <c r="AP34" i="2" s="1"/>
  <c r="AG35" i="2" l="1"/>
  <c r="AE35" i="2" s="1"/>
  <c r="AP35" i="2" s="1"/>
  <c r="AG36" i="2" l="1"/>
  <c r="AE36" i="2" s="1"/>
  <c r="AP36" i="2" s="1"/>
  <c r="AG37" i="2" l="1"/>
  <c r="AE37" i="2" s="1"/>
  <c r="AP37" i="2" s="1"/>
  <c r="AG38" i="2" l="1"/>
  <c r="AE38" i="2" s="1"/>
  <c r="AP38" i="2" s="1"/>
  <c r="AG39" i="2" l="1"/>
  <c r="AE39" i="2" s="1"/>
  <c r="AP39" i="2" s="1"/>
  <c r="AG40" i="2" l="1"/>
  <c r="AE40" i="2" s="1"/>
  <c r="AP40" i="2" s="1"/>
  <c r="AG41" i="2" l="1"/>
  <c r="AE41" i="2" s="1"/>
  <c r="AP41" i="2" s="1"/>
  <c r="AG42" i="2" l="1"/>
  <c r="AE42" i="2" s="1"/>
  <c r="AP42" i="2" s="1"/>
  <c r="AG43" i="2" l="1"/>
  <c r="AE43" i="2" s="1"/>
  <c r="AP43" i="2" s="1"/>
  <c r="AG44" i="2" l="1"/>
  <c r="AE44" i="2" s="1"/>
  <c r="AP44" i="2" s="1"/>
  <c r="AG45" i="2" l="1"/>
  <c r="AE45" i="2" s="1"/>
  <c r="AP45" i="2" s="1"/>
  <c r="AG46" i="2" l="1"/>
  <c r="AE46" i="2" s="1"/>
  <c r="AP46" i="2" s="1"/>
  <c r="AG47" i="2" l="1"/>
  <c r="AE47" i="2" s="1"/>
  <c r="AP47" i="2" s="1"/>
  <c r="AG48" i="2" l="1"/>
  <c r="AE48" i="2" s="1"/>
  <c r="AP48" i="2" s="1"/>
  <c r="AG49" i="2" l="1"/>
  <c r="AE49" i="2" s="1"/>
  <c r="AP49" i="2" s="1"/>
  <c r="AG50" i="2" l="1"/>
  <c r="AE50" i="2" s="1"/>
  <c r="AP50" i="2" s="1"/>
  <c r="AG51" i="2" l="1"/>
  <c r="AE51" i="2" s="1"/>
  <c r="AP51" i="2" s="1"/>
  <c r="AG52" i="2" l="1"/>
  <c r="AE52" i="2" s="1"/>
  <c r="AP52" i="2" s="1"/>
  <c r="AG53" i="2" l="1"/>
  <c r="AE53" i="2" s="1"/>
  <c r="AP53" i="2" s="1"/>
  <c r="AG54" i="2" l="1"/>
  <c r="AE54" i="2" s="1"/>
  <c r="AP54" i="2" s="1"/>
  <c r="AG55" i="2" l="1"/>
  <c r="AE55" i="2" s="1"/>
  <c r="AP55" i="2" s="1"/>
  <c r="AG56" i="2" l="1"/>
  <c r="AE56" i="2" s="1"/>
  <c r="AP56" i="2" s="1"/>
  <c r="AG57" i="2" l="1"/>
  <c r="AE57" i="2" s="1"/>
  <c r="AP57" i="2" s="1"/>
  <c r="AG58" i="2" l="1"/>
  <c r="AE58" i="2" s="1"/>
  <c r="AP58" i="2" s="1"/>
  <c r="AG59" i="2" l="1"/>
  <c r="AE59" i="2" s="1"/>
  <c r="AP59" i="2" s="1"/>
  <c r="AG60" i="2" l="1"/>
  <c r="AE60" i="2" s="1"/>
  <c r="AP60" i="2" s="1"/>
  <c r="AG61" i="2" l="1"/>
  <c r="AE61" i="2" s="1"/>
  <c r="AP61" i="2" s="1"/>
  <c r="AG62" i="2" l="1"/>
  <c r="AE62" i="2" s="1"/>
  <c r="AP62" i="2" s="1"/>
  <c r="AG63" i="2" l="1"/>
  <c r="AE63" i="2" s="1"/>
  <c r="AP63" i="2" s="1"/>
  <c r="AG64" i="2" l="1"/>
  <c r="AE64" i="2" s="1"/>
  <c r="AP64" i="2" s="1"/>
  <c r="AG65" i="2" l="1"/>
  <c r="AE65" i="2" s="1"/>
  <c r="AP65" i="2" s="1"/>
  <c r="AG66" i="2" l="1"/>
  <c r="AE66" i="2" s="1"/>
  <c r="AP66" i="2" s="1"/>
  <c r="AG67" i="2" l="1"/>
  <c r="AE67" i="2" s="1"/>
  <c r="AP67" i="2" s="1"/>
  <c r="AG68" i="2" l="1"/>
  <c r="AE68" i="2" s="1"/>
  <c r="AP68" i="2" s="1"/>
  <c r="AG69" i="2" l="1"/>
  <c r="AE69" i="2" s="1"/>
  <c r="AP69" i="2" s="1"/>
  <c r="AG70" i="2" l="1"/>
  <c r="AE70" i="2" s="1"/>
  <c r="AP70" i="2" s="1"/>
  <c r="AG71" i="2" l="1"/>
  <c r="AE71" i="2" s="1"/>
  <c r="AP71" i="2" s="1"/>
  <c r="AG72" i="2" l="1"/>
  <c r="AE72" i="2" s="1"/>
  <c r="AP72" i="2" s="1"/>
  <c r="AG73" i="2" l="1"/>
  <c r="AE73" i="2" s="1"/>
  <c r="AP73" i="2" s="1"/>
  <c r="AG74" i="2" l="1"/>
  <c r="AE74" i="2" s="1"/>
  <c r="AP74" i="2" s="1"/>
  <c r="AG75" i="2" l="1"/>
  <c r="AE75" i="2" s="1"/>
  <c r="AP75" i="2" s="1"/>
  <c r="AG76" i="2" l="1"/>
  <c r="AE76" i="2" s="1"/>
  <c r="AP76" i="2" s="1"/>
  <c r="AG77" i="2" l="1"/>
  <c r="AE77" i="2" s="1"/>
  <c r="AP77" i="2" s="1"/>
  <c r="AG78" i="2" l="1"/>
  <c r="AE78" i="2" s="1"/>
  <c r="AP78" i="2" s="1"/>
  <c r="AG79" i="2" l="1"/>
  <c r="AE79" i="2" s="1"/>
  <c r="AP79" i="2" s="1"/>
  <c r="AG80" i="2" l="1"/>
  <c r="AE80" i="2" s="1"/>
  <c r="AP80" i="2" s="1"/>
  <c r="AG81" i="2" l="1"/>
  <c r="AE81" i="2" s="1"/>
  <c r="AP81" i="2" s="1"/>
  <c r="AG82" i="2" l="1"/>
  <c r="AE82" i="2" s="1"/>
  <c r="AP82" i="2" s="1"/>
  <c r="AG83" i="2" l="1"/>
  <c r="AE83" i="2" s="1"/>
  <c r="AP83" i="2" s="1"/>
  <c r="AG84" i="2" l="1"/>
  <c r="AE84" i="2" s="1"/>
  <c r="AP84" i="2" s="1"/>
  <c r="AG85" i="2" l="1"/>
  <c r="AE85" i="2" s="1"/>
  <c r="AP85" i="2" s="1"/>
  <c r="AG86" i="2" l="1"/>
  <c r="AE86" i="2" s="1"/>
  <c r="AP86" i="2" s="1"/>
  <c r="AG87" i="2" l="1"/>
  <c r="AE87" i="2" l="1"/>
  <c r="AG90" i="2"/>
  <c r="AE90" i="2" l="1"/>
  <c r="AP87" i="2"/>
  <c r="V8" i="2" l="1"/>
  <c r="AG88" i="2"/>
  <c r="AI88" i="2" s="1"/>
  <c r="AK88" i="2" s="1"/>
  <c r="E19" i="2" l="1"/>
  <c r="E16" i="2"/>
  <c r="N16" i="2" s="1"/>
  <c r="N18" i="2" s="1"/>
  <c r="N21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<sst xmlns="http://schemas.openxmlformats.org/spreadsheetml/2006/main" count="397" uniqueCount="232">
  <si>
    <t>Термін</t>
  </si>
  <si>
    <t>Ануїтет</t>
  </si>
  <si>
    <t xml:space="preserve">ГРАФІК ПОГАШЕННЯ КРЕДИТУ </t>
  </si>
  <si>
    <t>Місяць</t>
  </si>
  <si>
    <t>Розмір щомісячних внесків з повернення кредиту, грн.</t>
  </si>
  <si>
    <t>Щомісячна плата за кредитне обслуговування, грн.</t>
  </si>
  <si>
    <t>Розмір щомісячних процентних внесків, грн.</t>
  </si>
  <si>
    <t>Загальна сума внесків до повернення в місяць, грн.</t>
  </si>
  <si>
    <t>Ануїтетна</t>
  </si>
  <si>
    <t>Відсоткова ставка річна (%)</t>
  </si>
  <si>
    <t>Так</t>
  </si>
  <si>
    <t>Ні</t>
  </si>
  <si>
    <t>Сума кредиту</t>
  </si>
  <si>
    <t>Дата</t>
  </si>
  <si>
    <t>Число</t>
  </si>
  <si>
    <t>Всього</t>
  </si>
  <si>
    <t>ні</t>
  </si>
  <si>
    <t>так</t>
  </si>
  <si>
    <t>№ платежу</t>
  </si>
  <si>
    <t>Максимальна сума кредиту</t>
  </si>
  <si>
    <t>ВСЬОГО ВИТРАТ</t>
  </si>
  <si>
    <t>Нотаріальні послуги:</t>
  </si>
  <si>
    <t>без комісії за видачу</t>
  </si>
  <si>
    <t>вартість-аванс</t>
  </si>
  <si>
    <t>сума дод. страхування</t>
  </si>
  <si>
    <t>%,Участь власними коштами</t>
  </si>
  <si>
    <t>Ставка</t>
  </si>
  <si>
    <t>Продукти:</t>
  </si>
  <si>
    <t>Варіанти НВ</t>
  </si>
  <si>
    <t>ПМ</t>
  </si>
  <si>
    <t>Kredo FAW (10%-20%)</t>
  </si>
  <si>
    <t xml:space="preserve">Kredo FAW (20%-30%) </t>
  </si>
  <si>
    <t xml:space="preserve">Kredo FAW (30%-40%) </t>
  </si>
  <si>
    <t xml:space="preserve">Kredo FAW (40%-50%) </t>
  </si>
  <si>
    <t xml:space="preserve">Kredo FAW (50%-60%) </t>
  </si>
  <si>
    <t>Kredo FAW (&gt;60%)</t>
  </si>
  <si>
    <t>Список продуктів</t>
  </si>
  <si>
    <t>Продукт</t>
  </si>
  <si>
    <t>Kredo FAW</t>
  </si>
  <si>
    <t>Kredo Mitsubishi(10%-19,99%) п.р.</t>
  </si>
  <si>
    <t>Kredo Mitsubishi(20%-29,99%) п.р.</t>
  </si>
  <si>
    <t>Kredo Mitsubishi(30%-39,99%) п.р.</t>
  </si>
  <si>
    <t>Kredo Mitsubishi(40%-49,99%) п.р.</t>
  </si>
  <si>
    <t>Kredo Mitsubishi(50%-59,99%) п.р.</t>
  </si>
  <si>
    <t>Kredo Mitsubishi</t>
  </si>
  <si>
    <t>Формат для авансу Продукту</t>
  </si>
  <si>
    <t>Комісія</t>
  </si>
  <si>
    <t>Автостарт</t>
  </si>
  <si>
    <t>Кредоавто (10%-19,99%) п.р.</t>
  </si>
  <si>
    <t>Кредоавто (20%-29,99%) п.р.</t>
  </si>
  <si>
    <t>Кредоавто (30%-39,99%) п.р.</t>
  </si>
  <si>
    <t>Кредоавто (40%-49,99%) п.р.</t>
  </si>
  <si>
    <t>Кредоавто (50%-59,99%) п.р.</t>
  </si>
  <si>
    <t>Кредоавто (&gt;60%) п.р.</t>
  </si>
  <si>
    <t>Кредоавто</t>
  </si>
  <si>
    <t>Кредо Укравто</t>
  </si>
  <si>
    <t>Кредо УкрАвто (10%-20%) п.р.</t>
  </si>
  <si>
    <t>Кредо УкрАвто (20%-30%) п.р.</t>
  </si>
  <si>
    <t>Кредо УкрАвто (30%-40%) п.р.</t>
  </si>
  <si>
    <t>Кредо УкрАвто (40%-50%) п.р.</t>
  </si>
  <si>
    <t>Кредо УкрАвто (50%-60%) п.р.</t>
  </si>
  <si>
    <t>Кредо УкрАвто (&gt;60%) п.р.</t>
  </si>
  <si>
    <t>Mazda-suzuki</t>
  </si>
  <si>
    <t>Mazda-Suzuki (10%-20%) п.р.</t>
  </si>
  <si>
    <t>Mazda-Suzuki (20%-30%) п.р.</t>
  </si>
  <si>
    <t>Mazda-Suzuki (30%-40%) п.р.</t>
  </si>
  <si>
    <t>Mazda-Suzuki (40%-50%) п.р.</t>
  </si>
  <si>
    <t>Mazda-Suzuki (50%-60%) п.р.</t>
  </si>
  <si>
    <t>Kredo TOP (10%-19,99%) п.р.</t>
  </si>
  <si>
    <t>Kredo TOP (20%-29,99%) п.р.</t>
  </si>
  <si>
    <t>Kredo TOP (30%-39,99%) п.р.</t>
  </si>
  <si>
    <t>Kredo TOP (40%-49,99%) п.р.</t>
  </si>
  <si>
    <t>Kredo TOP (50%-59,99%) п.р.</t>
  </si>
  <si>
    <t>Kredo TOP (60%-69,99%) п.р.</t>
  </si>
  <si>
    <t>Kredo TOP (&gt;70%) п.р.</t>
  </si>
  <si>
    <t>Kredo TOP</t>
  </si>
  <si>
    <t>Kredo BMW (20%-30%) п.р.</t>
  </si>
  <si>
    <t>Kredo BMW (30%-40%) п.р.</t>
  </si>
  <si>
    <t>Kredo BMW (40%-50%) п.р.</t>
  </si>
  <si>
    <t>Kredo BMW (50%-60%) п.р.</t>
  </si>
  <si>
    <t>Kredo BMW (&gt;60%) п.р.</t>
  </si>
  <si>
    <t>Kredo BMW</t>
  </si>
  <si>
    <t>Kredo PCU (10%-20%) п.р.</t>
  </si>
  <si>
    <t>Kredo PCU (20%-30%) п.р.</t>
  </si>
  <si>
    <t>Kredo PCU (30%-40%) п.р.</t>
  </si>
  <si>
    <t>Kredo PCU (40%-50%) п.р.</t>
  </si>
  <si>
    <t>Kredo PCU (50%-60%) п.р.</t>
  </si>
  <si>
    <t>Kredo PCU (&gt;60%) п.р.</t>
  </si>
  <si>
    <t>Kredo PCU</t>
  </si>
  <si>
    <t>Нові</t>
  </si>
  <si>
    <t>Kredo_Electro(10%-20%) п.р.</t>
  </si>
  <si>
    <t>Kredo_Electro(20%-30%) п.р.</t>
  </si>
  <si>
    <t>Kredo_Electro(30%-40%) п.р.</t>
  </si>
  <si>
    <t>Kredo_Electro(40%-50%) п.р.</t>
  </si>
  <si>
    <t>Kredo_Electro(50%-60%) п.р.</t>
  </si>
  <si>
    <t>Kredo_Electro(&gt;60%) п.р.</t>
  </si>
  <si>
    <t>Кредо Електро</t>
  </si>
  <si>
    <t>Kredo Hyundai 2020 (10%-19,99%) п.р.</t>
  </si>
  <si>
    <t>Kredo Hyundai 2020 (20%-29,99%) п.р.</t>
  </si>
  <si>
    <t>Kredo Hyundai 2020 (30%-39,99%) п.р.</t>
  </si>
  <si>
    <t>Kredo Hyundai 2020 (40%-49,99%) п.р.</t>
  </si>
  <si>
    <t>Kredo Hyundai 2020 (50%-59,99%) п.р.</t>
  </si>
  <si>
    <t>Kredo Hyundai 2020 (60%-69,99%) п.р.</t>
  </si>
  <si>
    <t>Kredo Hyundai 2020 (&gt;70%) п.р.</t>
  </si>
  <si>
    <t>Kredo Hyundai 2020</t>
  </si>
  <si>
    <t>Kredo FIAT</t>
  </si>
  <si>
    <t>Kredo Fiat (10%-19,99%) п.р.</t>
  </si>
  <si>
    <t>Kredo Fiat (20%-29,99%) п.р.</t>
  </si>
  <si>
    <t>Kredo Fiat (30%-39,99%) п.р.</t>
  </si>
  <si>
    <t>Kredo Fiat (40%-49,99%) п.р.</t>
  </si>
  <si>
    <t>Kredo Fiat (50%-59,99%) п.р.</t>
  </si>
  <si>
    <t>Kredo Fiat (&gt;60%) п.р.</t>
  </si>
  <si>
    <t>Доступний</t>
  </si>
  <si>
    <t>Доступний (10%-20%) п.р.</t>
  </si>
  <si>
    <t>Доступний  (20%-30%) п.р.</t>
  </si>
  <si>
    <t>Доступний (30%-40%) п.р.</t>
  </si>
  <si>
    <t>Доступний (40%-50%) п.р.</t>
  </si>
  <si>
    <t>Доступний (50%-60%) п.р.</t>
  </si>
  <si>
    <t>Доступний (&gt;60%) п.р.</t>
  </si>
  <si>
    <t>Kredo Grace</t>
  </si>
  <si>
    <t>Kredo Grace (10%-19,99%) п.р.</t>
  </si>
  <si>
    <t>Kredo Grace (20%-29,99%) п.р.</t>
  </si>
  <si>
    <t>Kredo Grace (30%-39,99%) п.р.</t>
  </si>
  <si>
    <t>Kredo Grace (40%-49,99%) п.р.</t>
  </si>
  <si>
    <t>Kredo Grace (50%-59,99%) п.р.</t>
  </si>
  <si>
    <t>Kredo Grace (&gt;60%) п.р.</t>
  </si>
  <si>
    <t>Вартість автомобіля</t>
  </si>
  <si>
    <t>Аванс</t>
  </si>
  <si>
    <t>Готівка</t>
  </si>
  <si>
    <t>Відсоток</t>
  </si>
  <si>
    <t>Або</t>
  </si>
  <si>
    <t>Відображення авансу</t>
  </si>
  <si>
    <t>Нотаріальні послуги (одноразово)</t>
  </si>
  <si>
    <t>Каско</t>
  </si>
  <si>
    <t>Комісія за видачу кредиту (грн)</t>
  </si>
  <si>
    <t>Kredo T</t>
  </si>
  <si>
    <t>Взаємний 2,5</t>
  </si>
  <si>
    <t>Взаємний 2,5 (10%-20%) п.р.</t>
  </si>
  <si>
    <t>Взаємний 2,5 (30%-40%) п.р.</t>
  </si>
  <si>
    <t>Взаємний 2,5 (40%-50%) п.р.</t>
  </si>
  <si>
    <t>Взаємний 2,5 (50%-60%) п.р.</t>
  </si>
  <si>
    <t>Взаємний 2,5 (&gt;60%) п.р.</t>
  </si>
  <si>
    <t>Kredo Ravon</t>
  </si>
  <si>
    <t>Kredo T (50%-60%) п.р.</t>
  </si>
  <si>
    <t>Kredo P</t>
  </si>
  <si>
    <t>Kredo P (10%-30%) п.р.</t>
  </si>
  <si>
    <t>Kredo P (30%-50%) п.р.</t>
  </si>
  <si>
    <t>Kredo P (50%-60%) п.р.</t>
  </si>
  <si>
    <t>Kredo P (&gt;60%) п.р.</t>
  </si>
  <si>
    <t>Lada Finance</t>
  </si>
  <si>
    <t>Lada Finance (10%-19,99%) п.р.</t>
  </si>
  <si>
    <t>Lada Finance (20%-29,99%) п.р.</t>
  </si>
  <si>
    <t>Lada Finance (30%-39,99%) п.р.</t>
  </si>
  <si>
    <t>Lada Finance (40%-49,99%) п.р.</t>
  </si>
  <si>
    <t>Lada Finance (50%-59,99%) п.р.</t>
  </si>
  <si>
    <t>Lada Finance (60%-69,99%) п.р.</t>
  </si>
  <si>
    <t>Lada Finance (&gt;70%) п.р.</t>
  </si>
  <si>
    <t>Для працівників та партнерів</t>
  </si>
  <si>
    <t>-</t>
  </si>
  <si>
    <t>Kredo Hyundai SE (30%-40%) п.р.</t>
  </si>
  <si>
    <t>Kredo Hyundai SE (40%-50%) п.р.</t>
  </si>
  <si>
    <t>Kredo Hyundai SE (50%-60%) п.р.</t>
  </si>
  <si>
    <t>Kredo Hyundai SE (60%-70%) п.р.</t>
  </si>
  <si>
    <t>Kredo Hyundai SE</t>
  </si>
  <si>
    <t>Kredo T (10%-20%) п.р.</t>
  </si>
  <si>
    <t>Kredo T (20%-30%) п.р.</t>
  </si>
  <si>
    <t>Kredo T (30%-40%) п.р.</t>
  </si>
  <si>
    <t>Kredo T (40%-50%) п.р.</t>
  </si>
  <si>
    <t>Kredo T (&gt;60%) п.р.</t>
  </si>
  <si>
    <t>Kredo Mitsubishi(60%-69,99%) п.р.</t>
  </si>
  <si>
    <t>Kredo Mitsubishi(&gt;70%) п.р.</t>
  </si>
  <si>
    <t>Kredo MINIMUM</t>
  </si>
  <si>
    <t>Kredo MINIMUM (10%-19,99%) п.р.</t>
  </si>
  <si>
    <t>Kredo MINIMUM (20%-29,99%) п.р.</t>
  </si>
  <si>
    <t>Kredo MINIMUM (30%-39,99%) п.р.</t>
  </si>
  <si>
    <t>Kredo MINIMUM (40%-49,99%) п.р.</t>
  </si>
  <si>
    <t>Kredo MINIMUM (50%-59,99%) п.р.</t>
  </si>
  <si>
    <t>Kredo MINIMUM (60%-69,99%) п.р.</t>
  </si>
  <si>
    <t>Kredo MINIMUM (&gt;70%) п.р.</t>
  </si>
  <si>
    <t>Сума процентів за користування кредитом</t>
  </si>
  <si>
    <t>Страхування НВ, щорічно (грн)</t>
  </si>
  <si>
    <t>Реальна річна процентна ставка, відсотків річних</t>
  </si>
  <si>
    <t>Суму платежу за розрахунковий період (місяць) (грн)</t>
  </si>
  <si>
    <t>Термін кредитування (місяць)</t>
  </si>
  <si>
    <t>Загальні витрати за кредитом (грн)</t>
  </si>
  <si>
    <t>Загальна вартість кредиту для клієнта (грн)</t>
  </si>
  <si>
    <t>Кредо Старт (10%-19,99%) п.р.</t>
  </si>
  <si>
    <t>Кредо Старт (20%-29,99%) п.р.</t>
  </si>
  <si>
    <t>Кредо Старт (30%-39,99%) п.р.</t>
  </si>
  <si>
    <t>Кредо Старт (40%-49,99%) п.р.</t>
  </si>
  <si>
    <t>Кредо Старт (50%-59,99%) п.р.</t>
  </si>
  <si>
    <t>Кредо Старт (60%-69,99%) п.р.</t>
  </si>
  <si>
    <t>Кредо Старт (&gt;70%) п.р.</t>
  </si>
  <si>
    <t>Кредо Старт</t>
  </si>
  <si>
    <t>Kredo Hyundai SE (&gt;70%) п.р.</t>
  </si>
  <si>
    <t>Mazda-Suzuki (60%-70%) п.р.</t>
  </si>
  <si>
    <t>Mazda-Suzuki (&gt;70%) п.р.</t>
  </si>
  <si>
    <t>Взаємний 2,5 (20%-30%) п.р.</t>
  </si>
  <si>
    <t>Kredo Ravon (10%-19,99%) п.р.</t>
  </si>
  <si>
    <t>Kredo Ravon (20%-29,99%) п.р.</t>
  </si>
  <si>
    <t>Kredo Ravon (30%-39,99%) п.р.</t>
  </si>
  <si>
    <t>Kredo Ravon (40%-49,99%) п.р.</t>
  </si>
  <si>
    <t>Kredo Ravon (50%-59,99%) п.р.</t>
  </si>
  <si>
    <t>Kredo Ravon (60%-69,99%) п.р.</t>
  </si>
  <si>
    <t>Kredo Ravon (&gt;70%) п.р.</t>
  </si>
  <si>
    <t>Оплата на обов'язкове пенсійне страхування</t>
  </si>
  <si>
    <t>Kredo Chery 1</t>
  </si>
  <si>
    <t>Kredo Chery 1 (10%-20%) п.р.</t>
  </si>
  <si>
    <t>Kredo Chery 1 (20%-30%) п.р.</t>
  </si>
  <si>
    <t>Kredo Chery 1 (30%-40%) п.р.</t>
  </si>
  <si>
    <t>Kredo Chery 1 (40%-50%) п.р.</t>
  </si>
  <si>
    <t>Kredo Chery 1 (&gt;50%) п.р.</t>
  </si>
  <si>
    <t>Kredo ELITE</t>
  </si>
  <si>
    <t>Kredo ELITE (10%-20%) п.р.</t>
  </si>
  <si>
    <t>Kredo ELITE (20%-30%) п.р.</t>
  </si>
  <si>
    <t>Kredo ELITE (30%-40%) п.р.</t>
  </si>
  <si>
    <t>Kredo ELITE (40%-50%) п.р.</t>
  </si>
  <si>
    <t>Kredo ELITE (50%-60%) п.р.</t>
  </si>
  <si>
    <t>Kredo ELITE (&gt;60%) п.р.</t>
  </si>
  <si>
    <t>Kredo Skoda Grace (&gt;70%) п.р.</t>
  </si>
  <si>
    <t>Kredo Skoda Grace</t>
  </si>
  <si>
    <t>Kredo Skoda Grace (10%-19,99%) п.р.</t>
  </si>
  <si>
    <t>Kredo Skoda Grace (20%-29,99%) п.р.</t>
  </si>
  <si>
    <t>Kredo Skoda Grace (30%-39,99%) п.р.</t>
  </si>
  <si>
    <t>Kredo Skoda Grace (40%-49,99%) п.р.</t>
  </si>
  <si>
    <t>Kredo Skoda Grace (50%-59,99%) п.р.</t>
  </si>
  <si>
    <t>Kredo Skoda Grace (60%-69,99%) п.р.</t>
  </si>
  <si>
    <t>Kredo Hyundai Grace Plus (10%-19,99%) п.р.</t>
  </si>
  <si>
    <t>Kredo Hyundai Grace Plus (20%-29,99%) п.р.</t>
  </si>
  <si>
    <t>Kredo Hyundai Grace Plus (30%-39,99%) п.р.</t>
  </si>
  <si>
    <t>Kredo Hyundai Grace Plus (40%-50%) п.р.</t>
  </si>
  <si>
    <t>Kredo Hyundai Grace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</si>
</sst>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грн.&quot;;\-#,##0\ &quot;грн.&quot;"/>
    <numFmt numFmtId="165" formatCode="#,##0.00\ &quot;грн.&quot;;\-#,##0.00\ &quot;грн.&quot;"/>
    <numFmt numFmtId="166" formatCode="0.0"/>
    <numFmt numFmtId="167" formatCode="#&quot; &quot;##0"/>
    <numFmt numFmtId="168" formatCode="#&quot; &quot;##0.0"/>
    <numFmt numFmtId="169" formatCode="_-* #,##0.00\ _ _-;\-* #,##0.00\ _ _-;_-* &quot;-&quot;??\ _ _-;_-@_-"/>
    <numFmt numFmtId="170" formatCode="mmmm\ yyyy"/>
    <numFmt numFmtId="171" formatCode="#,##0.00&quot;₴&quot;"/>
    <numFmt numFmtId="172" formatCode="#,##0.00_ ;\-#,##0.00\ "/>
    <numFmt numFmtId="173" formatCode="0.000%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7.5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7" tint="-0.249977111117893"/>
      <name val="Times New Roman"/>
      <family val="1"/>
      <charset val="204"/>
    </font>
    <font>
      <sz val="10"/>
      <color theme="7" tint="-0.249977111117893"/>
      <name val="Arial"/>
      <family val="2"/>
      <charset val="204"/>
    </font>
    <font>
      <sz val="10"/>
      <color theme="6" tint="-0.499984740745262"/>
      <name val="Arial"/>
      <family val="2"/>
      <charset val="204"/>
    </font>
    <font>
      <sz val="11"/>
      <color theme="7" tint="-0.24997711111789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4"/>
      <color theme="6" tint="-0.499984740745262"/>
      <name val="Times New Roman"/>
      <family val="1"/>
      <charset val="204"/>
    </font>
    <font>
      <b/>
      <sz val="14"/>
      <color rgb="FF008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6D6"/>
        <bgColor indexed="64"/>
      </patternFill>
    </fill>
    <fill>
      <patternFill patternType="solid">
        <fgColor rgb="FFC0E498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patternFill patternType="solid">
        <fgColor rgb="FF407B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 style="slantDashDot">
        <color theme="6" tint="-0.249977111117893"/>
      </bottom>
      <diagonal/>
    </border>
    <border>
      <left/>
      <right/>
      <top/>
      <bottom style="slantDashDot">
        <color theme="6" tint="-0.249977111117893"/>
      </bottom>
      <diagonal/>
    </border>
    <border>
      <left/>
      <right style="slantDashDot">
        <color theme="6" tint="-0.249977111117893"/>
      </right>
      <top/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/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 style="slantDashDot">
        <color theme="6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/>
      <bottom style="dashed">
        <color theme="7" tint="-0.249977111117893"/>
      </bottom>
      <diagonal/>
    </border>
    <border>
      <left/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dashDotDot">
        <color theme="6" tint="-0.249977111117893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/>
      <diagonal/>
    </border>
    <border>
      <left style="slantDashDot">
        <color theme="6" tint="-0.499984740745262"/>
      </left>
      <right style="slantDashDot">
        <color theme="6" tint="-0.499984740745262"/>
      </right>
      <top/>
      <bottom style="slantDashDot">
        <color theme="6" tint="-0.499984740745262"/>
      </bottom>
      <diagonal/>
    </border>
    <border>
      <left/>
      <right/>
      <top/>
      <bottom style="dashed">
        <color theme="7" tint="-0.249977111117893"/>
      </bottom>
      <diagonal/>
    </border>
    <border>
      <left/>
      <right style="dashDotDot">
        <color theme="6" tint="-0.249977111117893"/>
      </right>
      <top/>
      <bottom/>
      <diagonal/>
    </border>
    <border>
      <left style="dashed">
        <color theme="7" tint="-0.249977111117893"/>
      </left>
      <right style="dashed">
        <color theme="7" tint="-0.249977111117893"/>
      </right>
      <top/>
      <bottom/>
      <diagonal/>
    </border>
    <border>
      <left/>
      <right/>
      <top style="medium">
        <color indexed="64"/>
      </top>
      <bottom style="dashed">
        <color theme="7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 style="medium">
        <color indexed="64"/>
      </top>
      <bottom style="dashed">
        <color theme="7" tint="-0.249977111117893"/>
      </bottom>
      <diagonal/>
    </border>
    <border>
      <left/>
      <right style="dashDotDot">
        <color theme="6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/>
      <top/>
      <bottom/>
      <diagonal/>
    </border>
    <border>
      <left style="dashDotDot">
        <color theme="6" tint="-0.249977111117893"/>
      </left>
      <right/>
      <top/>
      <bottom style="dashDotDot">
        <color theme="6" tint="-0.249977111117893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dashDotDot">
        <color theme="6" tint="-0.249977111117893"/>
      </top>
      <bottom/>
      <diagonal/>
    </border>
    <border>
      <left style="dashDotDot">
        <color theme="6" tint="-0.249977111117893"/>
      </left>
      <right/>
      <top style="dashDotDot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9" fontId="16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322">
    <xf numFmtId="0" fontId="0" fillId="0" borderId="0" xfId="0"/>
    <xf numFmtId="0" fontId="2" fillId="2" borderId="1" xfId="27" applyFont="1" applyFill="1" applyBorder="1" applyProtection="1"/>
    <xf numFmtId="0" fontId="1" fillId="2" borderId="2" xfId="27" applyFill="1" applyBorder="1" applyProtection="1"/>
    <xf numFmtId="0" fontId="1" fillId="2" borderId="2" xfId="27" applyFont="1" applyFill="1" applyBorder="1" applyProtection="1"/>
    <xf numFmtId="0" fontId="17" fillId="2" borderId="2" xfId="27" applyFont="1" applyFill="1" applyBorder="1" applyProtection="1"/>
    <xf numFmtId="1" fontId="3" fillId="2" borderId="2" xfId="27" applyNumberFormat="1" applyFont="1" applyFill="1" applyBorder="1" applyAlignment="1" applyProtection="1">
      <alignment horizontal="center" vertical="top" wrapText="1"/>
    </xf>
    <xf numFmtId="0" fontId="1" fillId="2" borderId="3" xfId="27" applyFill="1" applyBorder="1" applyProtection="1"/>
    <xf numFmtId="0" fontId="1" fillId="2" borderId="0" xfId="27" applyFill="1" applyProtection="1"/>
    <xf numFmtId="0" fontId="1" fillId="0" borderId="0" xfId="27" applyProtection="1"/>
    <xf numFmtId="0" fontId="2" fillId="2" borderId="4" xfId="27" applyFont="1" applyFill="1" applyBorder="1" applyProtection="1"/>
    <xf numFmtId="0" fontId="17" fillId="2" borderId="0" xfId="27" applyFont="1" applyFill="1" applyBorder="1" applyProtection="1"/>
    <xf numFmtId="0" fontId="1" fillId="2" borderId="0" xfId="27" applyFill="1" applyBorder="1" applyProtection="1"/>
    <xf numFmtId="0" fontId="1" fillId="2" borderId="0" xfId="27" applyFont="1" applyFill="1" applyBorder="1" applyProtection="1"/>
    <xf numFmtId="0" fontId="1" fillId="0" borderId="0" xfId="27" applyFill="1" applyProtection="1"/>
    <xf numFmtId="0" fontId="10" fillId="2" borderId="4" xfId="27" applyFont="1" applyFill="1" applyBorder="1" applyProtection="1"/>
    <xf numFmtId="0" fontId="4" fillId="2" borderId="0" xfId="2" applyFill="1" applyBorder="1" applyProtection="1"/>
    <xf numFmtId="0" fontId="13" fillId="2" borderId="0" xfId="27" applyFont="1" applyFill="1" applyBorder="1" applyProtection="1"/>
    <xf numFmtId="0" fontId="13" fillId="0" borderId="0" xfId="27" applyFont="1" applyProtection="1"/>
    <xf numFmtId="168" fontId="11" fillId="2" borderId="0" xfId="27" applyNumberFormat="1" applyFont="1" applyFill="1" applyBorder="1" applyAlignment="1" applyProtection="1">
      <alignment horizontal="right" vertical="center"/>
    </xf>
    <xf numFmtId="4" fontId="11" fillId="2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Border="1" applyProtection="1"/>
    <xf numFmtId="0" fontId="2" fillId="0" borderId="0" xfId="27" applyFont="1" applyFill="1" applyProtection="1"/>
    <xf numFmtId="168" fontId="11" fillId="0" borderId="0" xfId="27" applyNumberFormat="1" applyFont="1" applyFill="1" applyBorder="1" applyAlignment="1" applyProtection="1">
      <alignment horizontal="right" vertical="center"/>
    </xf>
    <xf numFmtId="4" fontId="11" fillId="0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Protection="1"/>
    <xf numFmtId="0" fontId="1" fillId="2" borderId="0" xfId="27" applyFont="1" applyFill="1" applyProtection="1"/>
    <xf numFmtId="0" fontId="4" fillId="2" borderId="0" xfId="2" applyFill="1" applyProtection="1"/>
    <xf numFmtId="0" fontId="4" fillId="0" borderId="0" xfId="2" applyProtection="1"/>
    <xf numFmtId="0" fontId="4" fillId="0" borderId="0" xfId="2" applyFill="1" applyProtection="1"/>
    <xf numFmtId="0" fontId="9" fillId="0" borderId="0" xfId="27" applyFont="1" applyAlignment="1" applyProtection="1">
      <alignment horizontal="center"/>
    </xf>
    <xf numFmtId="0" fontId="15" fillId="2" borderId="0" xfId="27" applyFont="1" applyFill="1" applyProtection="1"/>
    <xf numFmtId="0" fontId="2" fillId="0" borderId="11" xfId="27" applyFont="1" applyFill="1" applyBorder="1" applyProtection="1"/>
    <xf numFmtId="0" fontId="14" fillId="2" borderId="4" xfId="27" applyFont="1" applyFill="1" applyBorder="1" applyProtection="1"/>
    <xf numFmtId="0" fontId="1" fillId="3" borderId="0" xfId="27" applyFill="1" applyBorder="1" applyProtection="1"/>
    <xf numFmtId="0" fontId="1" fillId="3" borderId="0" xfId="27" applyFill="1" applyProtection="1"/>
    <xf numFmtId="4" fontId="1" fillId="3" borderId="0" xfId="27" applyNumberFormat="1" applyFill="1" applyBorder="1" applyProtection="1"/>
    <xf numFmtId="4" fontId="4" fillId="3" borderId="0" xfId="2" applyNumberFormat="1" applyFill="1" applyBorder="1" applyProtection="1"/>
    <xf numFmtId="0" fontId="4" fillId="3" borderId="0" xfId="2" applyFill="1" applyBorder="1" applyProtection="1"/>
    <xf numFmtId="168" fontId="11" fillId="3" borderId="0" xfId="27" applyNumberFormat="1" applyFont="1" applyFill="1" applyBorder="1" applyAlignment="1" applyProtection="1">
      <alignment horizontal="right" vertical="center"/>
    </xf>
    <xf numFmtId="4" fontId="11" fillId="3" borderId="0" xfId="27" applyNumberFormat="1" applyFont="1" applyFill="1" applyBorder="1" applyAlignment="1" applyProtection="1">
      <alignment horizontal="right" vertical="center"/>
    </xf>
    <xf numFmtId="4" fontId="25" fillId="3" borderId="0" xfId="27" applyNumberFormat="1" applyFont="1" applyFill="1" applyBorder="1" applyAlignment="1" applyProtection="1">
      <alignment vertical="center" wrapText="1"/>
    </xf>
    <xf numFmtId="4" fontId="26" fillId="3" borderId="0" xfId="27" applyNumberFormat="1" applyFont="1" applyFill="1" applyBorder="1" applyAlignment="1" applyProtection="1">
      <alignment vertical="center" wrapText="1"/>
    </xf>
    <xf numFmtId="0" fontId="1" fillId="3" borderId="0" xfId="27" applyFill="1" applyBorder="1" applyProtection="1">
      <protection hidden="1"/>
    </xf>
    <xf numFmtId="4" fontId="25" fillId="3" borderId="0" xfId="27" applyNumberFormat="1" applyFont="1" applyFill="1" applyBorder="1" applyAlignment="1" applyProtection="1">
      <alignment vertical="center" wrapText="1"/>
      <protection hidden="1"/>
    </xf>
    <xf numFmtId="171" fontId="1" fillId="3" borderId="0" xfId="27" applyNumberFormat="1" applyFill="1" applyBorder="1" applyProtection="1"/>
    <xf numFmtId="0" fontId="1" fillId="2" borderId="17" xfId="27" applyFill="1" applyBorder="1" applyProtection="1"/>
    <xf numFmtId="0" fontId="31" fillId="0" borderId="0" xfId="0" applyFont="1" applyBorder="1" applyAlignment="1">
      <alignment horizontal="left" vertical="center" wrapText="1"/>
    </xf>
    <xf numFmtId="0" fontId="1" fillId="2" borderId="47" xfId="27" applyFill="1" applyBorder="1" applyProtection="1"/>
    <xf numFmtId="4" fontId="8" fillId="3" borderId="0" xfId="27" applyNumberFormat="1" applyFont="1" applyFill="1" applyBorder="1" applyProtection="1"/>
    <xf numFmtId="0" fontId="12" fillId="3" borderId="54" xfId="0" applyFont="1" applyFill="1" applyBorder="1" applyAlignment="1">
      <alignment horizontal="center" vertical="center" wrapText="1"/>
    </xf>
    <xf numFmtId="166" fontId="8" fillId="3" borderId="0" xfId="27" applyNumberFormat="1" applyFont="1" applyFill="1" applyBorder="1" applyProtection="1"/>
    <xf numFmtId="0" fontId="1" fillId="3" borderId="0" xfId="27" applyFont="1" applyFill="1" applyBorder="1" applyProtection="1"/>
    <xf numFmtId="10" fontId="29" fillId="2" borderId="7" xfId="1" applyNumberFormat="1" applyFont="1" applyFill="1" applyBorder="1" applyAlignment="1" applyProtection="1">
      <alignment horizontal="center"/>
    </xf>
    <xf numFmtId="0" fontId="1" fillId="2" borderId="55" xfId="27" applyFill="1" applyBorder="1" applyProtection="1"/>
    <xf numFmtId="0" fontId="0" fillId="0" borderId="13" xfId="0" applyBorder="1" applyAlignment="1">
      <alignment horizontal="center"/>
    </xf>
    <xf numFmtId="0" fontId="1" fillId="2" borderId="56" xfId="27" applyFill="1" applyBorder="1" applyProtection="1"/>
    <xf numFmtId="0" fontId="0" fillId="0" borderId="0" xfId="0" applyBorder="1"/>
    <xf numFmtId="0" fontId="7" fillId="5" borderId="19" xfId="27" applyFont="1" applyFill="1" applyBorder="1" applyAlignment="1" applyProtection="1">
      <alignment horizontal="center" vertical="center" wrapText="1"/>
      <protection hidden="1"/>
    </xf>
    <xf numFmtId="0" fontId="0" fillId="0" borderId="5" xfId="0" applyBorder="1"/>
    <xf numFmtId="0" fontId="1" fillId="2" borderId="0" xfId="27" applyFill="1" applyBorder="1" applyAlignment="1" applyProtection="1"/>
    <xf numFmtId="0" fontId="0" fillId="0" borderId="9" xfId="0" applyBorder="1"/>
    <xf numFmtId="0" fontId="0" fillId="0" borderId="10" xfId="0" applyBorder="1"/>
    <xf numFmtId="0" fontId="1" fillId="2" borderId="58" xfId="27" applyFill="1" applyBorder="1" applyProtection="1"/>
    <xf numFmtId="0" fontId="12" fillId="3" borderId="57" xfId="0" applyFont="1" applyFill="1" applyBorder="1" applyAlignment="1">
      <alignment horizontal="center" vertical="center" wrapText="1"/>
    </xf>
    <xf numFmtId="0" fontId="1" fillId="2" borderId="59" xfId="27" applyFill="1" applyBorder="1" applyProtection="1"/>
    <xf numFmtId="0" fontId="1" fillId="2" borderId="20" xfId="27" applyFill="1" applyBorder="1" applyProtection="1"/>
    <xf numFmtId="0" fontId="7" fillId="5" borderId="21" xfId="27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9" fillId="5" borderId="21" xfId="27" applyFont="1" applyFill="1" applyBorder="1" applyAlignment="1" applyProtection="1">
      <alignment horizontal="center" vertical="center" wrapText="1"/>
      <protection hidden="1"/>
    </xf>
    <xf numFmtId="0" fontId="39" fillId="5" borderId="13" xfId="27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/>
    </xf>
    <xf numFmtId="0" fontId="0" fillId="0" borderId="62" xfId="0" applyBorder="1"/>
    <xf numFmtId="0" fontId="1" fillId="2" borderId="63" xfId="27" applyFill="1" applyBorder="1" applyProtection="1"/>
    <xf numFmtId="0" fontId="1" fillId="0" borderId="65" xfId="27" applyFill="1" applyBorder="1" applyAlignment="1" applyProtection="1"/>
    <xf numFmtId="0" fontId="5" fillId="7" borderId="23" xfId="2" applyFont="1" applyFill="1" applyBorder="1" applyAlignment="1" applyProtection="1">
      <alignment horizontal="center" vertical="center"/>
      <protection hidden="1"/>
    </xf>
    <xf numFmtId="4" fontId="9" fillId="3" borderId="0" xfId="27" applyNumberFormat="1" applyFont="1" applyFill="1" applyBorder="1" applyAlignment="1" applyProtection="1"/>
    <xf numFmtId="0" fontId="8" fillId="3" borderId="0" xfId="27" applyFont="1" applyFill="1" applyBorder="1" applyAlignment="1" applyProtection="1"/>
    <xf numFmtId="4" fontId="8" fillId="3" borderId="0" xfId="27" applyNumberFormat="1" applyFont="1" applyFill="1" applyBorder="1" applyAlignment="1" applyProtection="1"/>
    <xf numFmtId="4" fontId="15" fillId="5" borderId="1" xfId="27" applyNumberFormat="1" applyFont="1" applyFill="1" applyBorder="1" applyAlignment="1" applyProtection="1">
      <alignment vertical="center" wrapText="1"/>
      <protection hidden="1"/>
    </xf>
    <xf numFmtId="4" fontId="15" fillId="5" borderId="11" xfId="27" applyNumberFormat="1" applyFont="1" applyFill="1" applyBorder="1" applyAlignment="1" applyProtection="1">
      <alignment vertical="center" wrapText="1"/>
      <protection hidden="1"/>
    </xf>
    <xf numFmtId="164" fontId="7" fillId="4" borderId="13" xfId="27" applyNumberFormat="1" applyFont="1" applyFill="1" applyBorder="1" applyAlignment="1" applyProtection="1">
      <alignment horizontal="center" vertical="center"/>
      <protection locked="0"/>
    </xf>
    <xf numFmtId="4" fontId="20" fillId="8" borderId="1" xfId="27" applyNumberFormat="1" applyFont="1" applyFill="1" applyBorder="1" applyAlignment="1" applyProtection="1">
      <alignment vertical="center" wrapText="1"/>
      <protection hidden="1"/>
    </xf>
    <xf numFmtId="4" fontId="20" fillId="8" borderId="4" xfId="27" applyNumberFormat="1" applyFont="1" applyFill="1" applyBorder="1" applyAlignment="1" applyProtection="1">
      <alignment vertical="center" wrapText="1"/>
      <protection hidden="1"/>
    </xf>
    <xf numFmtId="4" fontId="20" fillId="8" borderId="11" xfId="27" applyNumberFormat="1" applyFont="1" applyFill="1" applyBorder="1" applyAlignment="1" applyProtection="1">
      <alignment vertical="center" wrapText="1"/>
      <protection hidden="1"/>
    </xf>
    <xf numFmtId="0" fontId="7" fillId="4" borderId="13" xfId="27" applyNumberFormat="1" applyFont="1" applyFill="1" applyBorder="1" applyAlignment="1" applyProtection="1">
      <alignment horizontal="center" vertical="center"/>
      <protection locked="0"/>
    </xf>
    <xf numFmtId="165" fontId="7" fillId="5" borderId="23" xfId="27" applyNumberFormat="1" applyFont="1" applyFill="1" applyBorder="1" applyAlignment="1" applyProtection="1">
      <alignment horizontal="center" vertical="center"/>
      <protection hidden="1"/>
    </xf>
    <xf numFmtId="165" fontId="7" fillId="5" borderId="23" xfId="27" applyNumberFormat="1" applyFont="1" applyFill="1" applyBorder="1" applyAlignment="1" applyProtection="1">
      <alignment horizontal="center" vertical="center"/>
      <protection hidden="1"/>
    </xf>
    <xf numFmtId="165" fontId="20" fillId="4" borderId="25" xfId="27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1" fillId="0" borderId="0" xfId="27" applyFill="1" applyBorder="1" applyProtection="1"/>
    <xf numFmtId="0" fontId="0" fillId="0" borderId="9" xfId="0" applyFill="1" applyBorder="1"/>
    <xf numFmtId="0" fontId="1" fillId="0" borderId="59" xfId="27" applyFill="1" applyBorder="1" applyProtection="1"/>
    <xf numFmtId="0" fontId="0" fillId="0" borderId="0" xfId="0" applyFill="1" applyBorder="1"/>
    <xf numFmtId="2" fontId="29" fillId="0" borderId="64" xfId="27" applyNumberFormat="1" applyFont="1" applyFill="1" applyBorder="1" applyProtection="1"/>
    <xf numFmtId="0" fontId="29" fillId="0" borderId="66" xfId="27" applyNumberFormat="1" applyFont="1" applyFill="1" applyBorder="1" applyProtection="1"/>
    <xf numFmtId="0" fontId="29" fillId="0" borderId="0" xfId="27" applyNumberFormat="1" applyFont="1" applyFill="1" applyBorder="1" applyProtection="1"/>
    <xf numFmtId="0" fontId="0" fillId="0" borderId="0" xfId="0" applyFill="1"/>
    <xf numFmtId="10" fontId="29" fillId="0" borderId="7" xfId="1" applyNumberFormat="1" applyFont="1" applyFill="1" applyBorder="1" applyAlignment="1" applyProtection="1">
      <alignment horizontal="center"/>
    </xf>
    <xf numFmtId="0" fontId="15" fillId="2" borderId="0" xfId="27" applyFont="1" applyFill="1" applyBorder="1" applyProtection="1"/>
    <xf numFmtId="0" fontId="0" fillId="9" borderId="0" xfId="0" applyFill="1"/>
    <xf numFmtId="0" fontId="1" fillId="0" borderId="63" xfId="27" applyFill="1" applyBorder="1" applyProtection="1"/>
    <xf numFmtId="0" fontId="1" fillId="10" borderId="0" xfId="27" applyFill="1" applyBorder="1" applyProtection="1"/>
    <xf numFmtId="0" fontId="23" fillId="10" borderId="0" xfId="0" applyFont="1" applyFill="1" applyBorder="1" applyAlignment="1">
      <alignment horizontal="center" vertical="center" wrapText="1"/>
    </xf>
    <xf numFmtId="10" fontId="29" fillId="10" borderId="7" xfId="1" applyNumberFormat="1" applyFont="1" applyFill="1" applyBorder="1" applyAlignment="1" applyProtection="1">
      <alignment horizontal="center"/>
    </xf>
    <xf numFmtId="0" fontId="0" fillId="10" borderId="0" xfId="0" applyFill="1" applyBorder="1"/>
    <xf numFmtId="2" fontId="29" fillId="10" borderId="64" xfId="27" applyNumberFormat="1" applyFont="1" applyFill="1" applyBorder="1" applyProtection="1"/>
    <xf numFmtId="2" fontId="29" fillId="10" borderId="0" xfId="27" applyNumberFormat="1" applyFont="1" applyFill="1" applyBorder="1" applyProtection="1"/>
    <xf numFmtId="0" fontId="29" fillId="10" borderId="66" xfId="27" applyNumberFormat="1" applyFont="1" applyFill="1" applyBorder="1" applyProtection="1"/>
    <xf numFmtId="0" fontId="29" fillId="10" borderId="0" xfId="27" applyNumberFormat="1" applyFont="1" applyFill="1" applyBorder="1" applyProtection="1"/>
    <xf numFmtId="0" fontId="1" fillId="11" borderId="0" xfId="27" applyFill="1" applyBorder="1" applyProtection="1"/>
    <xf numFmtId="10" fontId="29" fillId="11" borderId="7" xfId="1" applyNumberFormat="1" applyFont="1" applyFill="1" applyBorder="1" applyAlignment="1" applyProtection="1">
      <alignment horizontal="center"/>
    </xf>
    <xf numFmtId="0" fontId="23" fillId="11" borderId="0" xfId="0" applyFont="1" applyFill="1" applyBorder="1" applyAlignment="1">
      <alignment horizontal="center" vertical="center" wrapText="1"/>
    </xf>
    <xf numFmtId="0" fontId="0" fillId="11" borderId="0" xfId="0" applyFill="1" applyBorder="1"/>
    <xf numFmtId="0" fontId="15" fillId="2" borderId="0" xfId="27" applyFont="1" applyFill="1" applyProtection="1">
      <protection locked="0"/>
    </xf>
    <xf numFmtId="0" fontId="1" fillId="2" borderId="0" xfId="27" applyFill="1" applyBorder="1" applyProtection="1">
      <protection locked="0"/>
    </xf>
    <xf numFmtId="0" fontId="1" fillId="0" borderId="0" xfId="27" applyProtection="1">
      <protection locked="0"/>
    </xf>
    <xf numFmtId="0" fontId="1" fillId="2" borderId="48" xfId="27" applyFill="1" applyBorder="1" applyProtection="1">
      <protection locked="0"/>
    </xf>
    <xf numFmtId="0" fontId="29" fillId="2" borderId="49" xfId="27" applyFont="1" applyFill="1" applyBorder="1" applyProtection="1">
      <protection locked="0"/>
    </xf>
    <xf numFmtId="0" fontId="1" fillId="2" borderId="0" xfId="27" applyFill="1" applyProtection="1">
      <protection locked="0"/>
    </xf>
    <xf numFmtId="0" fontId="28" fillId="2" borderId="0" xfId="27" applyFont="1" applyFill="1" applyBorder="1" applyProtection="1">
      <protection locked="0"/>
    </xf>
    <xf numFmtId="0" fontId="29" fillId="2" borderId="0" xfId="27" applyFont="1" applyFill="1" applyProtection="1">
      <protection locked="0"/>
    </xf>
    <xf numFmtId="0" fontId="18" fillId="3" borderId="50" xfId="2" applyFont="1" applyFill="1" applyBorder="1" applyAlignment="1" applyProtection="1">
      <alignment horizontal="center" vertical="center" wrapText="1"/>
      <protection locked="0"/>
    </xf>
    <xf numFmtId="2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7" xfId="27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4" fontId="1" fillId="0" borderId="0" xfId="27" applyNumberFormat="1" applyProtection="1">
      <protection locked="0"/>
    </xf>
    <xf numFmtId="0" fontId="1" fillId="0" borderId="0" xfId="27" applyNumberFormat="1" applyProtection="1">
      <protection locked="0"/>
    </xf>
    <xf numFmtId="0" fontId="18" fillId="3" borderId="52" xfId="2" applyFont="1" applyFill="1" applyBorder="1" applyAlignment="1" applyProtection="1">
      <alignment horizontal="center" vertical="center" wrapText="1"/>
      <protection locked="0"/>
    </xf>
    <xf numFmtId="2" fontId="27" fillId="2" borderId="0" xfId="2" applyNumberFormat="1" applyFont="1" applyFill="1" applyBorder="1" applyAlignment="1" applyProtection="1">
      <alignment horizontal="center" vertical="center" wrapText="1"/>
      <protection locked="0"/>
    </xf>
    <xf numFmtId="2" fontId="27" fillId="0" borderId="67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40" xfId="0" applyFont="1" applyFill="1" applyBorder="1" applyAlignment="1" applyProtection="1">
      <alignment vertical="center" wrapText="1"/>
      <protection locked="0"/>
    </xf>
    <xf numFmtId="167" fontId="6" fillId="2" borderId="6" xfId="27" applyNumberFormat="1" applyFont="1" applyFill="1" applyBorder="1" applyAlignment="1" applyProtection="1">
      <alignment horizontal="center" vertical="center" wrapText="1"/>
      <protection locked="0"/>
    </xf>
    <xf numFmtId="172" fontId="1" fillId="0" borderId="0" xfId="27" applyNumberFormat="1" applyProtection="1">
      <protection locked="0"/>
    </xf>
    <xf numFmtId="0" fontId="18" fillId="3" borderId="53" xfId="2" applyFont="1" applyFill="1" applyBorder="1" applyAlignment="1" applyProtection="1">
      <alignment horizontal="center" vertical="center" wrapText="1"/>
      <protection locked="0"/>
    </xf>
    <xf numFmtId="2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170" fontId="22" fillId="3" borderId="40" xfId="0" applyNumberFormat="1" applyFont="1" applyFill="1" applyBorder="1" applyAlignment="1" applyProtection="1">
      <alignment wrapText="1"/>
      <protection locked="0"/>
    </xf>
    <xf numFmtId="4" fontId="8" fillId="2" borderId="7" xfId="27" applyNumberFormat="1" applyFont="1" applyFill="1" applyBorder="1" applyAlignment="1" applyProtection="1">
      <alignment horizontal="center"/>
      <protection locked="0"/>
    </xf>
    <xf numFmtId="4" fontId="8" fillId="2" borderId="18" xfId="27" applyNumberFormat="1" applyFont="1" applyFill="1" applyBorder="1" applyAlignment="1" applyProtection="1">
      <alignment horizontal="center"/>
      <protection locked="0"/>
    </xf>
    <xf numFmtId="10" fontId="1" fillId="2" borderId="0" xfId="27" applyNumberFormat="1" applyFill="1" applyProtection="1">
      <protection locked="0"/>
    </xf>
    <xf numFmtId="172" fontId="15" fillId="2" borderId="0" xfId="27" applyNumberFormat="1" applyFont="1" applyFill="1" applyProtection="1">
      <protection locked="0"/>
    </xf>
    <xf numFmtId="0" fontId="18" fillId="3" borderId="51" xfId="2" applyFont="1" applyFill="1" applyBorder="1" applyAlignment="1" applyProtection="1">
      <alignment horizontal="center" vertical="center" wrapText="1"/>
      <protection locked="0"/>
    </xf>
    <xf numFmtId="173" fontId="1" fillId="2" borderId="0" xfId="27" applyNumberFormat="1" applyFill="1" applyProtection="1">
      <protection locked="0"/>
    </xf>
    <xf numFmtId="3" fontId="1" fillId="2" borderId="7" xfId="27" applyNumberFormat="1" applyFill="1" applyBorder="1" applyProtection="1">
      <protection locked="0"/>
    </xf>
    <xf numFmtId="173" fontId="1" fillId="2" borderId="7" xfId="27" applyNumberFormat="1" applyFill="1" applyBorder="1" applyProtection="1">
      <protection locked="0"/>
    </xf>
    <xf numFmtId="0" fontId="1" fillId="2" borderId="7" xfId="27" applyFill="1" applyBorder="1" applyProtection="1">
      <protection locked="0"/>
    </xf>
    <xf numFmtId="10" fontId="1" fillId="2" borderId="7" xfId="27" applyNumberFormat="1" applyFill="1" applyBorder="1" applyProtection="1">
      <protection locked="0"/>
    </xf>
    <xf numFmtId="2" fontId="1" fillId="2" borderId="7" xfId="27" applyNumberFormat="1" applyFill="1" applyBorder="1" applyProtection="1">
      <protection locked="0"/>
    </xf>
    <xf numFmtId="166" fontId="1" fillId="2" borderId="0" xfId="27" applyNumberFormat="1" applyFill="1" applyBorder="1" applyProtection="1">
      <protection locked="0"/>
    </xf>
    <xf numFmtId="0" fontId="29" fillId="2" borderId="0" xfId="27" applyFont="1" applyFill="1" applyBorder="1" applyAlignment="1" applyProtection="1">
      <alignment horizontal="center"/>
      <protection locked="0"/>
    </xf>
    <xf numFmtId="10" fontId="29" fillId="2" borderId="7" xfId="1" applyNumberFormat="1" applyFont="1" applyFill="1" applyBorder="1" applyAlignment="1" applyProtection="1">
      <alignment horizontal="center"/>
      <protection locked="0"/>
    </xf>
    <xf numFmtId="170" fontId="22" fillId="0" borderId="7" xfId="0" applyNumberFormat="1" applyFont="1" applyBorder="1" applyAlignment="1" applyProtection="1">
      <alignment wrapText="1"/>
      <protection locked="0"/>
    </xf>
    <xf numFmtId="0" fontId="1" fillId="0" borderId="0" xfId="27" applyFill="1" applyProtection="1">
      <protection locked="0"/>
    </xf>
    <xf numFmtId="0" fontId="1" fillId="2" borderId="0" xfId="27" applyFill="1" applyBorder="1" applyAlignment="1" applyProtection="1">
      <alignment horizontal="center" vertical="center"/>
      <protection locked="0"/>
    </xf>
    <xf numFmtId="10" fontId="1" fillId="2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0" xfId="27" applyFill="1" applyBorder="1" applyProtection="1">
      <protection locked="0"/>
    </xf>
    <xf numFmtId="0" fontId="1" fillId="2" borderId="15" xfId="27" applyFill="1" applyBorder="1" applyProtection="1">
      <protection locked="0"/>
    </xf>
    <xf numFmtId="4" fontId="1" fillId="2" borderId="16" xfId="27" applyNumberFormat="1" applyFill="1" applyBorder="1" applyProtection="1">
      <protection locked="0"/>
    </xf>
    <xf numFmtId="0" fontId="1" fillId="2" borderId="6" xfId="27" applyFill="1" applyBorder="1" applyProtection="1">
      <protection locked="0"/>
    </xf>
    <xf numFmtId="4" fontId="1" fillId="2" borderId="12" xfId="27" applyNumberFormat="1" applyFill="1" applyBorder="1" applyProtection="1">
      <protection locked="0"/>
    </xf>
    <xf numFmtId="165" fontId="1" fillId="0" borderId="0" xfId="27" applyNumberFormat="1" applyProtection="1">
      <protection locked="0"/>
    </xf>
    <xf numFmtId="0" fontId="21" fillId="2" borderId="41" xfId="27" applyFont="1" applyFill="1" applyBorder="1" applyProtection="1">
      <protection locked="0"/>
    </xf>
    <xf numFmtId="0" fontId="1" fillId="2" borderId="42" xfId="27" applyFill="1" applyBorder="1" applyProtection="1">
      <protection locked="0"/>
    </xf>
    <xf numFmtId="0" fontId="2" fillId="2" borderId="41" xfId="27" applyFont="1" applyFill="1" applyBorder="1" applyProtection="1">
      <protection locked="0"/>
    </xf>
    <xf numFmtId="0" fontId="28" fillId="2" borderId="0" xfId="27" applyFont="1" applyFill="1" applyProtection="1">
      <protection locked="0"/>
    </xf>
    <xf numFmtId="0" fontId="1" fillId="2" borderId="43" xfId="27" applyFill="1" applyBorder="1" applyProtection="1">
      <protection locked="0"/>
    </xf>
    <xf numFmtId="14" fontId="1" fillId="2" borderId="41" xfId="27" applyNumberFormat="1" applyFill="1" applyBorder="1" applyProtection="1">
      <protection locked="0"/>
    </xf>
    <xf numFmtId="0" fontId="1" fillId="2" borderId="17" xfId="27" applyFill="1" applyBorder="1" applyProtection="1">
      <protection locked="0"/>
    </xf>
    <xf numFmtId="4" fontId="28" fillId="2" borderId="13" xfId="27" applyNumberFormat="1" applyFont="1" applyFill="1" applyBorder="1" applyProtection="1">
      <protection locked="0"/>
    </xf>
    <xf numFmtId="0" fontId="1" fillId="2" borderId="44" xfId="27" applyFill="1" applyBorder="1" applyProtection="1">
      <protection locked="0"/>
    </xf>
    <xf numFmtId="0" fontId="1" fillId="2" borderId="45" xfId="27" applyFill="1" applyBorder="1" applyProtection="1">
      <protection locked="0"/>
    </xf>
    <xf numFmtId="0" fontId="1" fillId="2" borderId="46" xfId="27" applyFill="1" applyBorder="1" applyProtection="1">
      <protection locked="0"/>
    </xf>
    <xf numFmtId="0" fontId="1" fillId="2" borderId="41" xfId="27" applyFill="1" applyBorder="1" applyProtection="1">
      <protection locked="0"/>
    </xf>
    <xf numFmtId="0" fontId="24" fillId="2" borderId="0" xfId="27" applyFont="1" applyFill="1" applyProtection="1">
      <protection locked="0"/>
    </xf>
    <xf numFmtId="4" fontId="24" fillId="2" borderId="0" xfId="27" applyNumberFormat="1" applyFont="1" applyFill="1" applyProtection="1">
      <protection locked="0"/>
    </xf>
    <xf numFmtId="0" fontId="15" fillId="2" borderId="13" xfId="27" applyFont="1" applyFill="1" applyBorder="1" applyProtection="1">
      <protection locked="0"/>
    </xf>
    <xf numFmtId="3" fontId="1" fillId="2" borderId="13" xfId="27" applyNumberFormat="1" applyFill="1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168" fontId="28" fillId="2" borderId="0" xfId="27" applyNumberFormat="1" applyFont="1" applyFill="1" applyProtection="1">
      <protection locked="0"/>
    </xf>
    <xf numFmtId="168" fontId="1" fillId="2" borderId="0" xfId="27" applyNumberFormat="1" applyFill="1" applyProtection="1">
      <protection locked="0"/>
    </xf>
    <xf numFmtId="4" fontId="26" fillId="3" borderId="0" xfId="27" applyNumberFormat="1" applyFont="1" applyFill="1" applyBorder="1" applyAlignment="1" applyProtection="1">
      <alignment vertical="center" wrapText="1"/>
      <protection locked="0"/>
    </xf>
    <xf numFmtId="4" fontId="1" fillId="2" borderId="7" xfId="27" applyNumberFormat="1" applyFill="1" applyBorder="1" applyProtection="1">
      <protection locked="0"/>
    </xf>
    <xf numFmtId="0" fontId="1" fillId="2" borderId="7" xfId="27" applyFill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1" fillId="0" borderId="7" xfId="27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68" fontId="28" fillId="2" borderId="0" xfId="27" applyNumberFormat="1" applyFont="1" applyFill="1" applyBorder="1" applyProtection="1">
      <protection locked="0"/>
    </xf>
    <xf numFmtId="168" fontId="1" fillId="2" borderId="0" xfId="27" applyNumberFormat="1" applyFill="1" applyBorder="1" applyProtection="1">
      <protection locked="0"/>
    </xf>
    <xf numFmtId="170" fontId="22" fillId="0" borderId="18" xfId="0" applyNumberFormat="1" applyFont="1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166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 applyProtection="1">
      <alignment horizontal="center" vertical="center" wrapText="1"/>
      <protection locked="0"/>
    </xf>
    <xf numFmtId="171" fontId="1" fillId="3" borderId="0" xfId="27" applyNumberFormat="1" applyFill="1" applyBorder="1" applyProtection="1">
      <protection locked="0"/>
    </xf>
    <xf numFmtId="4" fontId="9" fillId="3" borderId="0" xfId="27" applyNumberFormat="1" applyFont="1" applyFill="1" applyBorder="1" applyAlignment="1" applyProtection="1">
      <protection locked="0"/>
    </xf>
    <xf numFmtId="0" fontId="1" fillId="2" borderId="68" xfId="27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1" fillId="0" borderId="0" xfId="27" applyFill="1" applyBorder="1" applyProtection="1">
      <protection locked="0"/>
    </xf>
    <xf numFmtId="0" fontId="24" fillId="2" borderId="0" xfId="27" applyFont="1" applyFill="1" applyBorder="1" applyAlignment="1" applyProtection="1">
      <alignment horizontal="center" vertical="center"/>
      <protection locked="0"/>
    </xf>
    <xf numFmtId="0" fontId="24" fillId="2" borderId="0" xfId="27" applyFont="1" applyFill="1" applyBorder="1" applyProtection="1">
      <protection locked="0"/>
    </xf>
    <xf numFmtId="4" fontId="1" fillId="2" borderId="0" xfId="27" applyNumberFormat="1" applyFill="1" applyAlignment="1" applyProtection="1">
      <alignment horizontal="center"/>
      <protection locked="0"/>
    </xf>
    <xf numFmtId="166" fontId="8" fillId="2" borderId="7" xfId="27" applyNumberFormat="1" applyFont="1" applyFill="1" applyBorder="1" applyProtection="1">
      <protection locked="0"/>
    </xf>
    <xf numFmtId="168" fontId="11" fillId="2" borderId="8" xfId="27" applyNumberFormat="1" applyFont="1" applyFill="1" applyBorder="1" applyAlignment="1" applyProtection="1">
      <alignment horizontal="right" vertical="center"/>
      <protection locked="0"/>
    </xf>
    <xf numFmtId="4" fontId="11" fillId="2" borderId="34" xfId="27" applyNumberFormat="1" applyFont="1" applyFill="1" applyBorder="1" applyAlignment="1" applyProtection="1">
      <alignment vertical="center"/>
      <protection locked="0"/>
    </xf>
    <xf numFmtId="0" fontId="13" fillId="2" borderId="0" xfId="27" applyFont="1" applyFill="1" applyBorder="1" applyProtection="1">
      <protection locked="0"/>
    </xf>
    <xf numFmtId="0" fontId="13" fillId="2" borderId="0" xfId="27" applyFont="1" applyFill="1" applyProtection="1">
      <protection locked="0"/>
    </xf>
    <xf numFmtId="0" fontId="13" fillId="0" borderId="0" xfId="27" applyFont="1" applyProtection="1">
      <protection locked="0"/>
    </xf>
    <xf numFmtId="0" fontId="5" fillId="6" borderId="23" xfId="2" applyFont="1" applyFill="1" applyBorder="1" applyAlignment="1" applyProtection="1">
      <alignment horizontal="center" vertical="center"/>
      <protection hidden="1"/>
    </xf>
    <xf numFmtId="0" fontId="5" fillId="6" borderId="24" xfId="2" applyFont="1" applyFill="1" applyBorder="1" applyAlignment="1" applyProtection="1">
      <alignment horizontal="center" vertical="center"/>
      <protection hidden="1"/>
    </xf>
    <xf numFmtId="4" fontId="7" fillId="5" borderId="23" xfId="27" applyNumberFormat="1" applyFont="1" applyFill="1" applyBorder="1" applyAlignment="1" applyProtection="1">
      <alignment horizontal="center" vertical="center"/>
      <protection hidden="1"/>
    </xf>
    <xf numFmtId="4" fontId="7" fillId="5" borderId="25" xfId="27" applyNumberFormat="1" applyFont="1" applyFill="1" applyBorder="1" applyAlignment="1" applyProtection="1">
      <alignment horizontal="center" vertical="center"/>
      <protection hidden="1"/>
    </xf>
    <xf numFmtId="0" fontId="5" fillId="6" borderId="25" xfId="2" applyFont="1" applyFill="1" applyBorder="1" applyAlignment="1" applyProtection="1">
      <alignment horizontal="center" vertical="center"/>
      <protection hidden="1"/>
    </xf>
    <xf numFmtId="0" fontId="40" fillId="6" borderId="23" xfId="2" applyFont="1" applyFill="1" applyBorder="1" applyAlignment="1" applyProtection="1">
      <alignment horizontal="center" vertical="center"/>
      <protection hidden="1"/>
    </xf>
    <xf numFmtId="0" fontId="40" fillId="6" borderId="25" xfId="2" applyFont="1" applyFill="1" applyBorder="1" applyAlignment="1" applyProtection="1">
      <alignment horizontal="center" vertical="center"/>
      <protection hidden="1"/>
    </xf>
    <xf numFmtId="0" fontId="5" fillId="6" borderId="1" xfId="2" applyFont="1" applyFill="1" applyBorder="1" applyAlignment="1" applyProtection="1">
      <alignment horizontal="center" vertical="center" wrapText="1"/>
      <protection hidden="1"/>
    </xf>
    <xf numFmtId="0" fontId="5" fillId="6" borderId="2" xfId="2" applyFont="1" applyFill="1" applyBorder="1" applyAlignment="1" applyProtection="1">
      <alignment horizontal="center" vertical="center" wrapText="1"/>
      <protection hidden="1"/>
    </xf>
    <xf numFmtId="0" fontId="5" fillId="6" borderId="3" xfId="2" applyFont="1" applyFill="1" applyBorder="1" applyAlignment="1" applyProtection="1">
      <alignment horizontal="center" vertical="center" wrapText="1"/>
      <protection hidden="1"/>
    </xf>
    <xf numFmtId="0" fontId="5" fillId="6" borderId="11" xfId="2" applyFont="1" applyFill="1" applyBorder="1" applyAlignment="1" applyProtection="1">
      <alignment horizontal="center" vertical="center" wrapText="1"/>
      <protection hidden="1"/>
    </xf>
    <xf numFmtId="0" fontId="5" fillId="6" borderId="9" xfId="2" applyFont="1" applyFill="1" applyBorder="1" applyAlignment="1" applyProtection="1">
      <alignment horizontal="center" vertical="center" wrapText="1"/>
      <protection hidden="1"/>
    </xf>
    <xf numFmtId="0" fontId="5" fillId="6" borderId="10" xfId="2" applyFont="1" applyFill="1" applyBorder="1" applyAlignment="1" applyProtection="1">
      <alignment horizontal="center" vertical="center" wrapText="1"/>
      <protection hidden="1"/>
    </xf>
    <xf numFmtId="165" fontId="7" fillId="5" borderId="1" xfId="27" applyNumberFormat="1" applyFont="1" applyFill="1" applyBorder="1" applyAlignment="1" applyProtection="1">
      <alignment horizontal="center" vertical="center"/>
      <protection hidden="1"/>
    </xf>
    <xf numFmtId="165" fontId="7" fillId="5" borderId="3" xfId="27" applyNumberFormat="1" applyFont="1" applyFill="1" applyBorder="1" applyAlignment="1" applyProtection="1">
      <alignment horizontal="center" vertical="center"/>
      <protection hidden="1"/>
    </xf>
    <xf numFmtId="165" fontId="7" fillId="5" borderId="11" xfId="27" applyNumberFormat="1" applyFont="1" applyFill="1" applyBorder="1" applyAlignment="1" applyProtection="1">
      <alignment horizontal="center" vertical="center"/>
      <protection hidden="1"/>
    </xf>
    <xf numFmtId="165" fontId="7" fillId="5" borderId="10" xfId="27" applyNumberFormat="1" applyFont="1" applyFill="1" applyBorder="1" applyAlignment="1" applyProtection="1">
      <alignment horizontal="center" vertical="center"/>
      <protection hidden="1"/>
    </xf>
    <xf numFmtId="164" fontId="7" fillId="4" borderId="23" xfId="27" applyNumberFormat="1" applyFont="1" applyFill="1" applyBorder="1" applyAlignment="1" applyProtection="1">
      <alignment horizontal="center" vertical="center"/>
      <protection hidden="1"/>
    </xf>
    <xf numFmtId="164" fontId="7" fillId="4" borderId="25" xfId="27" applyNumberFormat="1" applyFont="1" applyFill="1" applyBorder="1" applyAlignment="1" applyProtection="1">
      <alignment horizontal="center" vertical="center"/>
      <protection hidden="1"/>
    </xf>
    <xf numFmtId="164" fontId="7" fillId="4" borderId="23" xfId="27" applyNumberFormat="1" applyFont="1" applyFill="1" applyBorder="1" applyAlignment="1" applyProtection="1">
      <alignment horizontal="center" vertical="center"/>
      <protection locked="0"/>
    </xf>
    <xf numFmtId="164" fontId="7" fillId="4" borderId="25" xfId="27" applyNumberFormat="1" applyFont="1" applyFill="1" applyBorder="1" applyAlignment="1" applyProtection="1">
      <alignment horizontal="center" vertical="center"/>
      <protection locked="0"/>
    </xf>
    <xf numFmtId="0" fontId="7" fillId="6" borderId="23" xfId="2" applyFont="1" applyFill="1" applyBorder="1" applyAlignment="1" applyProtection="1">
      <alignment horizontal="center" vertical="center"/>
      <protection hidden="1"/>
    </xf>
    <xf numFmtId="0" fontId="7" fillId="6" borderId="24" xfId="2" applyFont="1" applyFill="1" applyBorder="1" applyAlignment="1" applyProtection="1">
      <alignment horizontal="center" vertical="center"/>
      <protection hidden="1"/>
    </xf>
    <xf numFmtId="4" fontId="41" fillId="5" borderId="4" xfId="27" applyNumberFormat="1" applyFont="1" applyFill="1" applyBorder="1" applyAlignment="1" applyProtection="1">
      <alignment horizontal="center" vertical="center" wrapText="1"/>
      <protection hidden="1"/>
    </xf>
    <xf numFmtId="4" fontId="41" fillId="5" borderId="0" xfId="27" applyNumberFormat="1" applyFont="1" applyFill="1" applyBorder="1" applyAlignment="1" applyProtection="1">
      <alignment horizontal="center" vertical="center" wrapText="1"/>
      <protection hidden="1"/>
    </xf>
    <xf numFmtId="0" fontId="7" fillId="7" borderId="23" xfId="2" applyFont="1" applyFill="1" applyBorder="1" applyAlignment="1" applyProtection="1">
      <alignment horizontal="center" vertical="center"/>
      <protection hidden="1"/>
    </xf>
    <xf numFmtId="0" fontId="7" fillId="7" borderId="24" xfId="2" applyFont="1" applyFill="1" applyBorder="1" applyAlignment="1" applyProtection="1">
      <alignment horizontal="center" vertical="center"/>
      <protection hidden="1"/>
    </xf>
    <xf numFmtId="0" fontId="7" fillId="7" borderId="25" xfId="2" applyFont="1" applyFill="1" applyBorder="1" applyAlignment="1" applyProtection="1">
      <alignment horizontal="center" vertical="center"/>
      <protection hidden="1"/>
    </xf>
    <xf numFmtId="0" fontId="7" fillId="6" borderId="1" xfId="2" applyFont="1" applyFill="1" applyBorder="1" applyAlignment="1" applyProtection="1">
      <alignment horizontal="center" vertical="center"/>
      <protection hidden="1"/>
    </xf>
    <xf numFmtId="0" fontId="7" fillId="6" borderId="2" xfId="2" applyFont="1" applyFill="1" applyBorder="1" applyAlignment="1" applyProtection="1">
      <alignment horizontal="center" vertical="center"/>
      <protection hidden="1"/>
    </xf>
    <xf numFmtId="0" fontId="7" fillId="6" borderId="3" xfId="2" applyFont="1" applyFill="1" applyBorder="1" applyAlignment="1" applyProtection="1">
      <alignment horizontal="center" vertical="center"/>
      <protection hidden="1"/>
    </xf>
    <xf numFmtId="0" fontId="7" fillId="6" borderId="4" xfId="2" applyFont="1" applyFill="1" applyBorder="1" applyAlignment="1" applyProtection="1">
      <alignment horizontal="center" vertical="center"/>
      <protection hidden="1"/>
    </xf>
    <xf numFmtId="0" fontId="7" fillId="6" borderId="0" xfId="2" applyFont="1" applyFill="1" applyBorder="1" applyAlignment="1" applyProtection="1">
      <alignment horizontal="center" vertical="center"/>
      <protection hidden="1"/>
    </xf>
    <xf numFmtId="0" fontId="7" fillId="6" borderId="5" xfId="2" applyFont="1" applyFill="1" applyBorder="1" applyAlignment="1" applyProtection="1">
      <alignment horizontal="center" vertical="center"/>
      <protection hidden="1"/>
    </xf>
    <xf numFmtId="0" fontId="7" fillId="6" borderId="11" xfId="2" applyFont="1" applyFill="1" applyBorder="1" applyAlignment="1" applyProtection="1">
      <alignment horizontal="center" vertical="center"/>
      <protection hidden="1"/>
    </xf>
    <xf numFmtId="0" fontId="7" fillId="6" borderId="9" xfId="2" applyFont="1" applyFill="1" applyBorder="1" applyAlignment="1" applyProtection="1">
      <alignment horizontal="center" vertical="center"/>
      <protection hidden="1"/>
    </xf>
    <xf numFmtId="0" fontId="7" fillId="6" borderId="10" xfId="2" applyFont="1" applyFill="1" applyBorder="1" applyAlignment="1" applyProtection="1">
      <alignment horizontal="center" vertical="center"/>
      <protection hidden="1"/>
    </xf>
    <xf numFmtId="4" fontId="7" fillId="5" borderId="4" xfId="27" applyNumberFormat="1" applyFont="1" applyFill="1" applyBorder="1" applyAlignment="1" applyProtection="1">
      <alignment horizontal="center" vertical="center"/>
      <protection hidden="1"/>
    </xf>
    <xf numFmtId="4" fontId="7" fillId="5" borderId="5" xfId="27" applyNumberFormat="1" applyFont="1" applyFill="1" applyBorder="1" applyAlignment="1" applyProtection="1">
      <alignment horizontal="center" vertical="center"/>
      <protection hidden="1"/>
    </xf>
    <xf numFmtId="0" fontId="7" fillId="4" borderId="23" xfId="27" applyFont="1" applyFill="1" applyBorder="1" applyAlignment="1" applyProtection="1">
      <alignment horizontal="center" vertical="center"/>
      <protection locked="0" hidden="1"/>
    </xf>
    <xf numFmtId="0" fontId="7" fillId="4" borderId="25" xfId="27" applyFont="1" applyFill="1" applyBorder="1" applyAlignment="1" applyProtection="1">
      <alignment horizontal="center" vertical="center"/>
      <protection locked="0" hidden="1"/>
    </xf>
    <xf numFmtId="0" fontId="5" fillId="6" borderId="23" xfId="2" applyFont="1" applyFill="1" applyBorder="1" applyAlignment="1" applyProtection="1">
      <alignment horizontal="center" vertical="center" wrapText="1"/>
      <protection hidden="1"/>
    </xf>
    <xf numFmtId="0" fontId="5" fillId="6" borderId="24" xfId="2" applyFont="1" applyFill="1" applyBorder="1" applyAlignment="1" applyProtection="1">
      <alignment horizontal="center" vertical="center" wrapText="1"/>
      <protection hidden="1"/>
    </xf>
    <xf numFmtId="4" fontId="9" fillId="2" borderId="14" xfId="27" applyNumberFormat="1" applyFont="1" applyFill="1" applyBorder="1" applyAlignment="1" applyProtection="1">
      <alignment horizontal="center"/>
      <protection locked="0"/>
    </xf>
    <xf numFmtId="4" fontId="9" fillId="2" borderId="26" xfId="27" applyNumberFormat="1" applyFont="1" applyFill="1" applyBorder="1" applyAlignment="1" applyProtection="1">
      <alignment horizontal="center"/>
      <protection locked="0"/>
    </xf>
    <xf numFmtId="0" fontId="37" fillId="2" borderId="23" xfId="2" applyFont="1" applyFill="1" applyBorder="1" applyAlignment="1" applyProtection="1">
      <alignment horizontal="center" vertical="center"/>
      <protection locked="0"/>
    </xf>
    <xf numFmtId="0" fontId="37" fillId="2" borderId="24" xfId="2" applyFont="1" applyFill="1" applyBorder="1" applyAlignment="1" applyProtection="1">
      <alignment horizontal="center" vertical="center"/>
      <protection locked="0"/>
    </xf>
    <xf numFmtId="0" fontId="37" fillId="2" borderId="25" xfId="2" applyFont="1" applyFill="1" applyBorder="1" applyAlignment="1" applyProtection="1">
      <alignment horizontal="center" vertical="center"/>
      <protection locked="0"/>
    </xf>
    <xf numFmtId="0" fontId="8" fillId="2" borderId="27" xfId="27" applyFont="1" applyFill="1" applyBorder="1" applyAlignment="1" applyProtection="1">
      <alignment horizontal="center"/>
      <protection locked="0"/>
    </xf>
    <xf numFmtId="0" fontId="8" fillId="2" borderId="18" xfId="27" applyFont="1" applyFill="1" applyBorder="1" applyAlignment="1" applyProtection="1">
      <alignment horizontal="center"/>
      <protection locked="0"/>
    </xf>
    <xf numFmtId="4" fontId="8" fillId="2" borderId="14" xfId="27" applyNumberFormat="1" applyFont="1" applyFill="1" applyBorder="1" applyAlignment="1" applyProtection="1">
      <alignment horizontal="center"/>
      <protection locked="0"/>
    </xf>
    <xf numFmtId="4" fontId="8" fillId="2" borderId="18" xfId="27" applyNumberFormat="1" applyFont="1" applyFill="1" applyBorder="1" applyAlignment="1" applyProtection="1">
      <alignment horizontal="center"/>
      <protection locked="0"/>
    </xf>
    <xf numFmtId="167" fontId="35" fillId="2" borderId="23" xfId="27" applyNumberFormat="1" applyFont="1" applyFill="1" applyBorder="1" applyAlignment="1" applyProtection="1">
      <alignment horizontal="center" vertical="center" wrapText="1"/>
      <protection locked="0"/>
    </xf>
    <xf numFmtId="167" fontId="35" fillId="2" borderId="25" xfId="27" applyNumberFormat="1" applyFont="1" applyFill="1" applyBorder="1" applyAlignment="1" applyProtection="1">
      <alignment horizontal="center" vertical="center" wrapText="1"/>
      <protection locked="0"/>
    </xf>
    <xf numFmtId="167" fontId="6" fillId="2" borderId="23" xfId="27" applyNumberFormat="1" applyFont="1" applyFill="1" applyBorder="1" applyAlignment="1" applyProtection="1">
      <alignment horizontal="center" vertical="center" wrapText="1"/>
      <protection locked="0"/>
    </xf>
    <xf numFmtId="167" fontId="6" fillId="2" borderId="25" xfId="27" applyNumberFormat="1" applyFont="1" applyFill="1" applyBorder="1" applyAlignment="1" applyProtection="1">
      <alignment horizontal="center" vertical="center" wrapText="1"/>
      <protection locked="0"/>
    </xf>
    <xf numFmtId="0" fontId="8" fillId="2" borderId="28" xfId="27" applyFont="1" applyFill="1" applyBorder="1" applyAlignment="1" applyProtection="1">
      <alignment horizontal="center"/>
      <protection locked="0"/>
    </xf>
    <xf numFmtId="0" fontId="8" fillId="2" borderId="29" xfId="27" applyFont="1" applyFill="1" applyBorder="1" applyAlignment="1" applyProtection="1">
      <alignment horizontal="center"/>
      <protection locked="0"/>
    </xf>
    <xf numFmtId="4" fontId="36" fillId="2" borderId="30" xfId="27" applyNumberFormat="1" applyFont="1" applyFill="1" applyBorder="1" applyAlignment="1" applyProtection="1">
      <alignment horizontal="center"/>
      <protection locked="0"/>
    </xf>
    <xf numFmtId="4" fontId="36" fillId="2" borderId="29" xfId="27" applyNumberFormat="1" applyFont="1" applyFill="1" applyBorder="1" applyAlignment="1" applyProtection="1">
      <alignment horizontal="center"/>
      <protection locked="0"/>
    </xf>
    <xf numFmtId="4" fontId="9" fillId="2" borderId="30" xfId="27" applyNumberFormat="1" applyFont="1" applyFill="1" applyBorder="1" applyAlignment="1" applyProtection="1">
      <alignment horizontal="center"/>
      <protection locked="0"/>
    </xf>
    <xf numFmtId="4" fontId="9" fillId="2" borderId="31" xfId="27" applyNumberFormat="1" applyFont="1" applyFill="1" applyBorder="1" applyAlignment="1" applyProtection="1">
      <alignment horizontal="center"/>
      <protection locked="0"/>
    </xf>
    <xf numFmtId="0" fontId="8" fillId="3" borderId="0" xfId="27" applyFont="1" applyFill="1" applyBorder="1" applyAlignment="1" applyProtection="1">
      <alignment horizontal="center"/>
    </xf>
    <xf numFmtId="4" fontId="8" fillId="3" borderId="0" xfId="27" applyNumberFormat="1" applyFont="1" applyFill="1" applyBorder="1" applyAlignment="1" applyProtection="1">
      <alignment horizontal="center"/>
    </xf>
    <xf numFmtId="4" fontId="9" fillId="3" borderId="0" xfId="27" applyNumberFormat="1" applyFont="1" applyFill="1" applyBorder="1" applyAlignment="1" applyProtection="1">
      <alignment horizontal="center"/>
    </xf>
    <xf numFmtId="10" fontId="7" fillId="5" borderId="23" xfId="27" applyNumberFormat="1" applyFont="1" applyFill="1" applyBorder="1" applyAlignment="1" applyProtection="1">
      <alignment horizontal="center" vertical="center"/>
      <protection hidden="1"/>
    </xf>
    <xf numFmtId="10" fontId="7" fillId="5" borderId="25" xfId="27" applyNumberFormat="1" applyFont="1" applyFill="1" applyBorder="1" applyAlignment="1" applyProtection="1">
      <alignment horizontal="center" vertical="center"/>
      <protection hidden="1"/>
    </xf>
    <xf numFmtId="0" fontId="5" fillId="6" borderId="25" xfId="2" applyFont="1" applyFill="1" applyBorder="1" applyAlignment="1" applyProtection="1">
      <alignment horizontal="center" vertical="center" wrapText="1"/>
      <protection hidden="1"/>
    </xf>
    <xf numFmtId="0" fontId="40" fillId="6" borderId="1" xfId="2" applyFont="1" applyFill="1" applyBorder="1" applyAlignment="1" applyProtection="1">
      <alignment horizontal="center" vertical="center" wrapText="1"/>
      <protection hidden="1"/>
    </xf>
    <xf numFmtId="0" fontId="40" fillId="6" borderId="3" xfId="2" applyFont="1" applyFill="1" applyBorder="1" applyAlignment="1" applyProtection="1">
      <alignment horizontal="center" vertical="center" wrapText="1"/>
      <protection hidden="1"/>
    </xf>
    <xf numFmtId="0" fontId="40" fillId="6" borderId="11" xfId="2" applyFont="1" applyFill="1" applyBorder="1" applyAlignment="1" applyProtection="1">
      <alignment horizontal="center" vertical="center" wrapText="1"/>
      <protection hidden="1"/>
    </xf>
    <xf numFmtId="0" fontId="40" fillId="6" borderId="10" xfId="2" applyFont="1" applyFill="1" applyBorder="1" applyAlignment="1" applyProtection="1">
      <alignment horizontal="center" vertical="center" wrapText="1"/>
      <protection hidden="1"/>
    </xf>
    <xf numFmtId="165" fontId="20" fillId="4" borderId="15" xfId="27" applyNumberFormat="1" applyFont="1" applyFill="1" applyBorder="1" applyAlignment="1" applyProtection="1">
      <alignment horizontal="center" vertical="center"/>
      <protection hidden="1"/>
    </xf>
    <xf numFmtId="165" fontId="20" fillId="4" borderId="6" xfId="27" applyNumberFormat="1" applyFont="1" applyFill="1" applyBorder="1" applyAlignment="1" applyProtection="1">
      <alignment horizontal="center" vertical="center"/>
      <protection hidden="1"/>
    </xf>
    <xf numFmtId="3" fontId="8" fillId="3" borderId="0" xfId="27" applyNumberFormat="1" applyFont="1" applyFill="1" applyBorder="1" applyAlignment="1" applyProtection="1">
      <alignment horizontal="center"/>
    </xf>
    <xf numFmtId="0" fontId="11" fillId="2" borderId="33" xfId="27" applyFont="1" applyFill="1" applyBorder="1" applyAlignment="1" applyProtection="1">
      <alignment horizontal="center" vertical="center"/>
      <protection locked="0"/>
    </xf>
    <xf numFmtId="0" fontId="11" fillId="2" borderId="34" xfId="27" applyFont="1" applyFill="1" applyBorder="1" applyAlignment="1" applyProtection="1">
      <alignment horizontal="center" vertical="center"/>
      <protection locked="0"/>
    </xf>
    <xf numFmtId="168" fontId="8" fillId="3" borderId="0" xfId="27" applyNumberFormat="1" applyFont="1" applyFill="1" applyBorder="1" applyAlignment="1" applyProtection="1">
      <alignment horizontal="center"/>
    </xf>
    <xf numFmtId="168" fontId="9" fillId="3" borderId="0" xfId="27" applyNumberFormat="1" applyFont="1" applyFill="1" applyBorder="1" applyAlignment="1" applyProtection="1">
      <alignment horizontal="center"/>
    </xf>
    <xf numFmtId="0" fontId="11" fillId="3" borderId="0" xfId="27" applyFont="1" applyFill="1" applyBorder="1" applyAlignment="1" applyProtection="1">
      <alignment horizontal="center" vertical="center"/>
    </xf>
    <xf numFmtId="4" fontId="11" fillId="3" borderId="0" xfId="27" applyNumberFormat="1" applyFont="1" applyFill="1" applyBorder="1" applyAlignment="1" applyProtection="1">
      <alignment horizontal="center" vertical="center"/>
    </xf>
    <xf numFmtId="168" fontId="11" fillId="3" borderId="0" xfId="27" applyNumberFormat="1" applyFont="1" applyFill="1" applyBorder="1" applyAlignment="1" applyProtection="1">
      <alignment horizontal="center" vertical="center"/>
    </xf>
    <xf numFmtId="0" fontId="11" fillId="0" borderId="0" xfId="27" applyFont="1" applyFill="1" applyBorder="1" applyAlignment="1" applyProtection="1">
      <alignment horizontal="center" vertical="center"/>
    </xf>
    <xf numFmtId="4" fontId="11" fillId="0" borderId="0" xfId="27" applyNumberFormat="1" applyFont="1" applyFill="1" applyBorder="1" applyAlignment="1" applyProtection="1">
      <alignment horizontal="center" vertical="center"/>
    </xf>
    <xf numFmtId="168" fontId="11" fillId="0" borderId="0" xfId="27" applyNumberFormat="1" applyFont="1" applyFill="1" applyBorder="1" applyAlignment="1" applyProtection="1">
      <alignment horizontal="center" vertical="center"/>
    </xf>
    <xf numFmtId="4" fontId="11" fillId="2" borderId="35" xfId="27" applyNumberFormat="1" applyFont="1" applyFill="1" applyBorder="1" applyAlignment="1" applyProtection="1">
      <alignment horizontal="center" vertical="center"/>
      <protection locked="0"/>
    </xf>
    <xf numFmtId="4" fontId="11" fillId="2" borderId="34" xfId="27" applyNumberFormat="1" applyFont="1" applyFill="1" applyBorder="1" applyAlignment="1" applyProtection="1">
      <alignment horizontal="center" vertical="center"/>
      <protection locked="0"/>
    </xf>
    <xf numFmtId="168" fontId="9" fillId="2" borderId="14" xfId="27" applyNumberFormat="1" applyFont="1" applyFill="1" applyBorder="1" applyAlignment="1" applyProtection="1">
      <alignment horizontal="center"/>
      <protection locked="0"/>
    </xf>
    <xf numFmtId="168" fontId="9" fillId="2" borderId="26" xfId="27" applyNumberFormat="1" applyFont="1" applyFill="1" applyBorder="1" applyAlignment="1" applyProtection="1">
      <alignment horizontal="center"/>
      <protection locked="0"/>
    </xf>
    <xf numFmtId="0" fontId="0" fillId="10" borderId="15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51">
    <cellStyle name="Відсотковий" xfId="1" builtinId="5"/>
    <cellStyle name="Звичайний" xfId="0" builtinId="0"/>
    <cellStyle name="Звичайний 2" xfId="2" xr:uid="{00000000-0005-0000-0000-000002000000}"/>
    <cellStyle name="Звичайний 3" xfId="3" xr:uid="{00000000-0005-0000-0000-000003000000}"/>
    <cellStyle name="Звичайний 3 2" xfId="4" xr:uid="{00000000-0005-0000-0000-000004000000}"/>
    <cellStyle name="Обычный 17" xfId="5" xr:uid="{00000000-0005-0000-0000-000005000000}"/>
    <cellStyle name="Обычный 2" xfId="6" xr:uid="{00000000-0005-0000-0000-000006000000}"/>
    <cellStyle name="Обычный 2 10" xfId="7" xr:uid="{00000000-0005-0000-0000-000007000000}"/>
    <cellStyle name="Обычный 2 11" xfId="8" xr:uid="{00000000-0005-0000-0000-000008000000}"/>
    <cellStyle name="Обычный 2 12" xfId="9" xr:uid="{00000000-0005-0000-0000-000009000000}"/>
    <cellStyle name="Обычный 2 13" xfId="10" xr:uid="{00000000-0005-0000-0000-00000A000000}"/>
    <cellStyle name="Обычный 2 14" xfId="11" xr:uid="{00000000-0005-0000-0000-00000B000000}"/>
    <cellStyle name="Обычный 2 15" xfId="12" xr:uid="{00000000-0005-0000-0000-00000C000000}"/>
    <cellStyle name="Обычный 2 16" xfId="13" xr:uid="{00000000-0005-0000-0000-00000D000000}"/>
    <cellStyle name="Обычный 2 17" xfId="14" xr:uid="{00000000-0005-0000-0000-00000E000000}"/>
    <cellStyle name="Обычный 2 18" xfId="15" xr:uid="{00000000-0005-0000-0000-00000F000000}"/>
    <cellStyle name="Обычный 2 19" xfId="16" xr:uid="{00000000-0005-0000-0000-000010000000}"/>
    <cellStyle name="Обычный 2 2" xfId="17" xr:uid="{00000000-0005-0000-0000-000011000000}"/>
    <cellStyle name="Обычный 2 20" xfId="18" xr:uid="{00000000-0005-0000-0000-000012000000}"/>
    <cellStyle name="Обычный 2 21" xfId="19" xr:uid="{00000000-0005-0000-0000-000013000000}"/>
    <cellStyle name="Обычный 2 3" xfId="20" xr:uid="{00000000-0005-0000-0000-000014000000}"/>
    <cellStyle name="Обычный 2 4" xfId="21" xr:uid="{00000000-0005-0000-0000-000015000000}"/>
    <cellStyle name="Обычный 2 5" xfId="22" xr:uid="{00000000-0005-0000-0000-000016000000}"/>
    <cellStyle name="Обычный 2 6" xfId="23" xr:uid="{00000000-0005-0000-0000-000017000000}"/>
    <cellStyle name="Обычный 2 7" xfId="24" xr:uid="{00000000-0005-0000-0000-000018000000}"/>
    <cellStyle name="Обычный 2 8" xfId="25" xr:uid="{00000000-0005-0000-0000-000019000000}"/>
    <cellStyle name="Обычный 2 9" xfId="26" xr:uid="{00000000-0005-0000-0000-00001A000000}"/>
    <cellStyle name="Обычный_Nedootrumani_dohodu" xfId="27" xr:uid="{00000000-0005-0000-0000-00001B000000}"/>
    <cellStyle name="Процентный 2" xfId="28" xr:uid="{00000000-0005-0000-0000-00001C000000}"/>
    <cellStyle name="Процентный 2 10" xfId="29" xr:uid="{00000000-0005-0000-0000-00001D000000}"/>
    <cellStyle name="Процентный 2 11" xfId="30" xr:uid="{00000000-0005-0000-0000-00001E000000}"/>
    <cellStyle name="Процентный 2 12" xfId="31" xr:uid="{00000000-0005-0000-0000-00001F000000}"/>
    <cellStyle name="Процентный 2 13" xfId="32" xr:uid="{00000000-0005-0000-0000-000020000000}"/>
    <cellStyle name="Процентный 2 14" xfId="33" xr:uid="{00000000-0005-0000-0000-000021000000}"/>
    <cellStyle name="Процентный 2 15" xfId="34" xr:uid="{00000000-0005-0000-0000-000022000000}"/>
    <cellStyle name="Процентный 2 16" xfId="35" xr:uid="{00000000-0005-0000-0000-000023000000}"/>
    <cellStyle name="Процентный 2 17" xfId="36" xr:uid="{00000000-0005-0000-0000-000024000000}"/>
    <cellStyle name="Процентный 2 18" xfId="37" xr:uid="{00000000-0005-0000-0000-000025000000}"/>
    <cellStyle name="Процентный 2 19" xfId="38" xr:uid="{00000000-0005-0000-0000-000026000000}"/>
    <cellStyle name="Процентный 2 2" xfId="39" xr:uid="{00000000-0005-0000-0000-000027000000}"/>
    <cellStyle name="Процентный 2 20" xfId="40" xr:uid="{00000000-0005-0000-0000-000028000000}"/>
    <cellStyle name="Процентный 2 21" xfId="41" xr:uid="{00000000-0005-0000-0000-000029000000}"/>
    <cellStyle name="Процентный 2 3" xfId="42" xr:uid="{00000000-0005-0000-0000-00002A000000}"/>
    <cellStyle name="Процентный 2 4" xfId="43" xr:uid="{00000000-0005-0000-0000-00002B000000}"/>
    <cellStyle name="Процентный 2 5" xfId="44" xr:uid="{00000000-0005-0000-0000-00002C000000}"/>
    <cellStyle name="Процентный 2 6" xfId="45" xr:uid="{00000000-0005-0000-0000-00002D000000}"/>
    <cellStyle name="Процентный 2 7" xfId="46" xr:uid="{00000000-0005-0000-0000-00002E000000}"/>
    <cellStyle name="Процентный 2 8" xfId="47" xr:uid="{00000000-0005-0000-0000-00002F000000}"/>
    <cellStyle name="Процентный 2 9" xfId="48" xr:uid="{00000000-0005-0000-0000-000030000000}"/>
    <cellStyle name="Процентный 3" xfId="49" xr:uid="{00000000-0005-0000-0000-000031000000}"/>
    <cellStyle name="Финансовый 2" xfId="50" xr:uid="{00000000-0005-0000-0000-000032000000}"/>
  </cellStyles>
  <dxfs count="197"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color rgb="FFFEF6D6"/>
      </font>
    </dxf>
    <dxf>
      <font>
        <color rgb="FFFEF6D6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EF6D6"/>
      </font>
    </dxf>
    <dxf>
      <font>
        <color rgb="FFFEF6D6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F0000"/>
      </font>
      <fill>
        <patternFill>
          <fgColor auto="1"/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ont>
        <color auto="1"/>
      </font>
      <fill>
        <patternFill>
          <bgColor rgb="FFC0E498"/>
        </patternFill>
      </fill>
    </dxf>
    <dxf>
      <font>
        <color theme="0"/>
      </font>
      <numFmt numFmtId="174" formatCode="0.000"/>
      <fill>
        <patternFill>
          <bgColor theme="0"/>
        </patternFill>
      </fill>
      <border>
        <left/>
        <right/>
        <top/>
        <bottom/>
      </border>
    </dxf>
    <dxf>
      <numFmt numFmtId="174" formatCode="0.000"/>
      <fill>
        <patternFill>
          <bgColor rgb="FFC0E498"/>
        </patternFill>
      </fill>
    </dxf>
    <dxf>
      <numFmt numFmtId="14" formatCode="0.00%"/>
    </dxf>
    <dxf>
      <font>
        <color rgb="FFC0E498"/>
      </font>
    </dxf>
    <dxf>
      <font>
        <color rgb="FFC0E498"/>
      </font>
    </dxf>
    <dxf>
      <font>
        <color auto="1"/>
      </font>
    </dxf>
    <dxf>
      <numFmt numFmtId="174" formatCode="0.000"/>
      <fill>
        <patternFill>
          <bgColor rgb="FFC0E498"/>
        </patternFill>
      </fill>
    </dxf>
    <dxf>
      <font>
        <b/>
        <i val="0"/>
        <color auto="1"/>
      </font>
    </dxf>
    <dxf>
      <numFmt numFmtId="174" formatCode="0.000"/>
      <fill>
        <patternFill>
          <bgColor rgb="FFC0E498"/>
        </patternFill>
      </fill>
    </dxf>
  </dxfs>
  <tableStyles count="0" defaultTableStyle="TableStyleMedium9" defaultPivotStyle="PivotStyleLight16"/>
  <colors>
    <mruColors>
      <color rgb="FFFEF6D6"/>
      <color rgb="FFC0E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microsoft.com/office/2006/relationships/vbaProject" Target="vbaProject.bin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35983</xdr:colOff>
      <xdr:row>0</xdr:row>
      <xdr:rowOff>1576917</xdr:rowOff>
    </xdr:from>
    <xdr:to>
      <xdr:col>13</xdr:col>
      <xdr:colOff>2465916</xdr:colOff>
      <xdr:row>1</xdr:row>
      <xdr:rowOff>0</xdr:rowOff>
    </xdr:to>
    <xdr:sp macro="" textlink="">
      <xdr:nvSpPr>
        <xdr:cNvPr id="26" name="Прямоугольник 6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5983" y="1576917"/>
          <a:ext cx="9700683" cy="264583"/>
        </a:xfrm>
        <a:prstGeom prst="rect">
          <a:avLst/>
        </a:prstGeom>
        <a:solidFill>
          <a:srgbClr val="EC8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 editAs="oneCell">
    <xdr:from>
      <xdr:col>0</xdr:col>
      <xdr:colOff>35982</xdr:colOff>
      <xdr:row>0</xdr:row>
      <xdr:rowOff>37041</xdr:rowOff>
    </xdr:from>
    <xdr:to>
      <xdr:col>13</xdr:col>
      <xdr:colOff>2465917</xdr:colOff>
      <xdr:row>0</xdr:row>
      <xdr:rowOff>1570566</xdr:rowOff>
    </xdr:to>
    <xdr:pic>
      <xdr:nvPicPr>
        <xdr:cNvPr id="55142" name="Picture 33">
          <a:extLst>
            <a:ext uri="{FF2B5EF4-FFF2-40B4-BE49-F238E27FC236}">
              <a16:creationId xmlns:a16="http://schemas.microsoft.com/office/drawing/2014/main" id="{00000000-0008-0000-0000-000066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23" b="35297"/>
        <a:stretch>
          <a:fillRect/>
        </a:stretch>
      </xdr:blipFill>
      <xdr:spPr bwMode="auto">
        <a:xfrm>
          <a:off x="35982" y="37041"/>
          <a:ext cx="970068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148166</xdr:colOff>
      <xdr:row>0</xdr:row>
      <xdr:rowOff>95250</xdr:rowOff>
    </xdr:from>
    <xdr:to>
      <xdr:col>13</xdr:col>
      <xdr:colOff>2444750</xdr:colOff>
      <xdr:row>0</xdr:row>
      <xdr:rowOff>1555750</xdr:rowOff>
    </xdr:to>
    <xdr:pic>
      <xdr:nvPicPr>
        <xdr:cNvPr id="55143" name="Picture 17">
          <a:extLst>
            <a:ext uri="{FF2B5EF4-FFF2-40B4-BE49-F238E27FC236}">
              <a16:creationId xmlns:a16="http://schemas.microsoft.com/office/drawing/2014/main" id="{00000000-0008-0000-0000-000067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166" y="95250"/>
          <a:ext cx="5503334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27</xdr:row>
          <xdr:rowOff>57150</xdr:rowOff>
        </xdr:from>
        <xdr:to>
          <xdr:col>12</xdr:col>
          <xdr:colOff>466725</xdr:colOff>
          <xdr:row>31</xdr:row>
          <xdr:rowOff>133350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uk-UA" sz="14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Очистити дані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42333</xdr:colOff>
      <xdr:row>0</xdr:row>
      <xdr:rowOff>383688</xdr:rowOff>
    </xdr:from>
    <xdr:to>
      <xdr:col>13</xdr:col>
      <xdr:colOff>485775</xdr:colOff>
      <xdr:row>0</xdr:row>
      <xdr:rowOff>1778000</xdr:rowOff>
    </xdr:to>
    <xdr:pic>
      <xdr:nvPicPr>
        <xdr:cNvPr id="55146" name="Picture 2">
          <a:extLst>
            <a:ext uri="{FF2B5EF4-FFF2-40B4-BE49-F238E27FC236}">
              <a16:creationId xmlns:a16="http://schemas.microsoft.com/office/drawing/2014/main" id="{00000000-0008-0000-0000-00006A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383688"/>
          <a:ext cx="3650192" cy="13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571500</xdr:rowOff>
    </xdr:from>
    <xdr:to>
      <xdr:col>11</xdr:col>
      <xdr:colOff>42333</xdr:colOff>
      <xdr:row>0</xdr:row>
      <xdr:rowOff>1629832</xdr:rowOff>
    </xdr:to>
    <xdr:pic>
      <xdr:nvPicPr>
        <xdr:cNvPr id="17" name="Picture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5" t="22727" r="69688" b="52043"/>
        <a:stretch/>
      </xdr:blipFill>
      <xdr:spPr>
        <a:xfrm>
          <a:off x="0" y="571500"/>
          <a:ext cx="4614333" cy="1058332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>
    <xdr:from>
      <xdr:col>3</xdr:col>
      <xdr:colOff>634998</xdr:colOff>
      <xdr:row>0</xdr:row>
      <xdr:rowOff>721781</xdr:rowOff>
    </xdr:from>
    <xdr:to>
      <xdr:col>11</xdr:col>
      <xdr:colOff>222250</xdr:colOff>
      <xdr:row>0</xdr:row>
      <xdr:rowOff>1502834</xdr:rowOff>
    </xdr:to>
    <xdr:sp macro="" textlink="">
      <xdr:nvSpPr>
        <xdr:cNvPr id="15" name="Прямокут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27665" y="721781"/>
          <a:ext cx="3566585" cy="781053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20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Кредитний калькулятор                                </a:t>
          </a:r>
          <a:r>
            <a:rPr lang="en-US" sz="2000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Kredo Hyundai Grace Plus</a:t>
          </a:r>
          <a:endParaRPr lang="uk-UA" sz="2000" baseline="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22</xdr:row>
          <xdr:rowOff>152400</xdr:rowOff>
        </xdr:from>
        <xdr:to>
          <xdr:col>12</xdr:col>
          <xdr:colOff>466725</xdr:colOff>
          <xdr:row>26</xdr:row>
          <xdr:rowOff>19050</xdr:rowOff>
        </xdr:to>
        <xdr:sp macro="" textlink="">
          <xdr:nvSpPr>
            <xdr:cNvPr id="1303" name="Button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uk-UA" sz="14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Розрахунок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9"/>
  <dimension ref="A1:DD146"/>
  <sheetViews>
    <sheetView tabSelected="1" view="pageBreakPreview" zoomScale="90" zoomScaleNormal="90" zoomScaleSheetLayoutView="90" workbookViewId="0">
      <selection activeCell="AV10" sqref="AV10"/>
    </sheetView>
  </sheetViews>
  <sheetFormatPr defaultRowHeight="12.75" x14ac:dyDescent="0.2"/>
  <cols>
    <col min="1" max="1" width="0.5703125" style="21" customWidth="1"/>
    <col min="2" max="2" width="3.140625" style="8" customWidth="1"/>
    <col min="3" max="3" width="5.140625" style="8" customWidth="1"/>
    <col min="4" max="4" width="21.5703125" style="8" customWidth="1"/>
    <col min="5" max="5" width="9.85546875" style="8" customWidth="1"/>
    <col min="6" max="6" width="17.28515625" style="8" customWidth="1"/>
    <col min="7" max="7" width="3.28515625" style="8" customWidth="1"/>
    <col min="8" max="8" width="7.5703125" style="29" customWidth="1"/>
    <col min="9" max="9" width="9.7109375" style="30" hidden="1" customWidth="1"/>
    <col min="10" max="10" width="3" style="27" hidden="1" customWidth="1"/>
    <col min="11" max="11" width="0" style="8" hidden="1" customWidth="1"/>
    <col min="12" max="12" width="20.5703125" style="8" customWidth="1"/>
    <col min="13" max="13" width="19.85546875" style="8" customWidth="1"/>
    <col min="14" max="14" width="37.42578125" style="8" customWidth="1"/>
    <col min="15" max="15" width="27" style="118" hidden="1" customWidth="1"/>
    <col min="16" max="16" width="9.140625" style="118" hidden="1" customWidth="1"/>
    <col min="17" max="17" width="20" style="121" hidden="1" customWidth="1"/>
    <col min="18" max="18" width="16.42578125" style="121" hidden="1" customWidth="1"/>
    <col min="19" max="19" width="25" style="121" hidden="1" customWidth="1"/>
    <col min="20" max="20" width="16.5703125" style="121" hidden="1" customWidth="1"/>
    <col min="21" max="21" width="28.28515625" style="121" hidden="1" customWidth="1"/>
    <col min="22" max="22" width="12.85546875" style="121" hidden="1" customWidth="1"/>
    <col min="23" max="23" width="9.140625" style="121" hidden="1" customWidth="1"/>
    <col min="24" max="24" width="12.42578125" style="121" hidden="1" customWidth="1"/>
    <col min="25" max="25" width="9.140625" style="121" hidden="1" customWidth="1"/>
    <col min="26" max="26" width="11.42578125" style="121" hidden="1" customWidth="1"/>
    <col min="27" max="27" width="11" style="121" hidden="1" customWidth="1"/>
    <col min="28" max="28" width="14.7109375" style="121" hidden="1" customWidth="1"/>
    <col min="29" max="30" width="9.140625" style="121" hidden="1" customWidth="1"/>
    <col min="31" max="31" width="13.42578125" style="121" hidden="1" customWidth="1"/>
    <col min="32" max="36" width="9.140625" style="121" hidden="1" customWidth="1"/>
    <col min="37" max="37" width="19.85546875" style="118" hidden="1" customWidth="1"/>
    <col min="38" max="38" width="11" style="118" hidden="1" customWidth="1"/>
    <col min="39" max="39" width="14.85546875" style="118" hidden="1" customWidth="1"/>
    <col min="40" max="40" width="16.42578125" style="118" hidden="1" customWidth="1"/>
    <col min="41" max="41" width="9.140625" style="118" hidden="1" customWidth="1"/>
    <col min="42" max="42" width="18.42578125" style="116" hidden="1" customWidth="1"/>
    <col min="43" max="45" width="9.140625" style="116" hidden="1" customWidth="1"/>
    <col min="46" max="52" width="9.140625" style="116" customWidth="1"/>
    <col min="53" max="74" width="9.140625" style="116"/>
    <col min="75" max="108" width="9.140625" style="30"/>
    <col min="109" max="16384" width="9.140625" style="8"/>
  </cols>
  <sheetData>
    <row r="1" spans="1:108" ht="145.15" customHeight="1" thickBot="1" x14ac:dyDescent="0.25">
      <c r="A1" s="1"/>
      <c r="B1" s="2"/>
      <c r="C1" s="3"/>
      <c r="D1" s="2"/>
      <c r="E1" s="4"/>
      <c r="F1" s="4"/>
      <c r="G1" s="5"/>
      <c r="H1" s="2"/>
      <c r="I1" s="2"/>
      <c r="J1" s="2"/>
      <c r="K1" s="2"/>
      <c r="L1" s="2"/>
      <c r="M1" s="2"/>
      <c r="N1" s="6"/>
      <c r="O1" s="117"/>
      <c r="Q1" s="119"/>
      <c r="R1" s="120" t="s">
        <v>0</v>
      </c>
      <c r="S1" s="117"/>
      <c r="U1" s="122"/>
      <c r="V1" s="122"/>
      <c r="W1" s="122"/>
      <c r="X1" s="122"/>
      <c r="Y1" s="122"/>
      <c r="Z1" s="122"/>
      <c r="AA1" s="117"/>
      <c r="AC1" s="123" t="s">
        <v>1</v>
      </c>
      <c r="AD1" s="123"/>
      <c r="AE1" s="123"/>
      <c r="AF1" s="123"/>
      <c r="AG1" s="123"/>
      <c r="AH1" s="123"/>
      <c r="AI1" s="123"/>
      <c r="AJ1" s="123"/>
    </row>
    <row r="2" spans="1:108" ht="28.5" customHeight="1" thickBot="1" x14ac:dyDescent="0.25">
      <c r="A2" s="9"/>
      <c r="B2" s="234" t="s">
        <v>37</v>
      </c>
      <c r="C2" s="235"/>
      <c r="D2" s="235"/>
      <c r="E2" s="230" t="str">
        <f>Аркуш1!A198</f>
        <v>Kredo Hyundai Grace Plus</v>
      </c>
      <c r="F2" s="231"/>
      <c r="G2" s="30"/>
      <c r="H2" s="30"/>
      <c r="L2" s="218" t="s">
        <v>12</v>
      </c>
      <c r="M2" s="219"/>
      <c r="N2" s="90">
        <f>IF(X4=3,0,$E$6-IF($X$4=1,$F$8,IF($X$4=2,$E$6/100*$F$10,0)))</f>
        <v>0</v>
      </c>
      <c r="O2" s="117"/>
      <c r="R2" s="124">
        <v>12</v>
      </c>
      <c r="S2" s="124">
        <v>36</v>
      </c>
      <c r="T2" s="125" t="s">
        <v>163</v>
      </c>
      <c r="U2" s="126" t="s">
        <v>8</v>
      </c>
      <c r="V2" s="127"/>
      <c r="W2" s="125">
        <f>IF(AND(V3=1,W3=1),2,0)</f>
        <v>0</v>
      </c>
      <c r="X2" s="125">
        <f>IF(E12="",1,2)</f>
        <v>1</v>
      </c>
      <c r="Y2" s="122"/>
      <c r="Z2" s="122"/>
      <c r="AA2" s="128"/>
      <c r="AC2" s="258" t="s">
        <v>2</v>
      </c>
      <c r="AD2" s="259"/>
      <c r="AE2" s="259"/>
      <c r="AF2" s="259"/>
      <c r="AG2" s="259"/>
      <c r="AH2" s="259"/>
      <c r="AI2" s="259"/>
      <c r="AJ2" s="260"/>
      <c r="AL2" s="129"/>
      <c r="AM2" s="130" t="b">
        <f>IFERROR(IF(E12=R8,N8+AM16+AM28+AM40+AM52+AM64+AM76,IF(E12=R7,N8+AM16+AM28+AM40+AM52+AM64,IF(E12=R6,N8+AM16+AM28+AM40+AM52,IF(E12=R5,N8+AM16+AM28+AM40,IF(E12=R4,N8+AM16+AM28,IF(E12=R3,N8+AM16,IF(E12=R2,N8))))))),"")</f>
        <v>0</v>
      </c>
      <c r="AN2" s="130" t="b">
        <f>IF(E12=R8,N10+AN16+AN28+AN40+AN52+AN64+AN76,IF(E12=R7,N10+AN16+AN28+AN40+AN52+AN64,IF(E12=R6,N10+AN16+AN28+AN40+AN52,IF(E12=R5,N10+AN16+AN28+AN40,IF(E12=R4,N10+AN16+AN28,IF(E12=R3,N10+AN16,IF(E12=R2,N10)))))))</f>
        <v>0</v>
      </c>
    </row>
    <row r="3" spans="1:108" ht="17.25" customHeight="1" thickBot="1" x14ac:dyDescent="0.25">
      <c r="A3" s="33"/>
      <c r="B3" s="33"/>
      <c r="C3" s="33"/>
      <c r="D3" s="33"/>
      <c r="E3" s="33"/>
      <c r="F3" s="33"/>
      <c r="G3" s="101"/>
      <c r="H3" s="33"/>
      <c r="I3" s="33"/>
      <c r="J3" s="33"/>
      <c r="K3" s="33"/>
      <c r="L3" s="33"/>
      <c r="M3" s="33"/>
      <c r="N3" s="33"/>
      <c r="O3" s="117"/>
      <c r="R3" s="124">
        <v>24</v>
      </c>
      <c r="S3" s="131">
        <v>60</v>
      </c>
      <c r="T3" s="132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$48,Аркуш1!$M$48,IF($E$2=Аркуш1!$A$55,Аркуш1!$M$55,IF($E$2=Аркуш1!$A$64,Аркуш1!$M$64,IF($E$2=Аркуш1!$A$71,Аркуш1!$M$71,IF($E$2=Аркуш1!$A$79,Аркуш1!$M$79,IF($E$2=Аркуш1!$A$87,Аркуш1!$M$87,IF($E$2=Аркуш1!$A$96,Аркуш1!$M$96,IF($E$2=Аркуш1!$A$105,Аркуш1!$M$105,IF($E$2=Аркуш1!$A$113,Аркуш1!$M$113,IF($E$2=Аркуш1!$A$121,Аркуш1!$M$121,IF($E$2=Аркуш1!$A$129,Аркуш1!$M$129,IF($E$2=Аркуш1!$A$137,Аркуш1!$M$137,IF($E$2=Аркуш1!$A$145,Аркуш1!$M$145,IF($E$2=Аркуш1!$A$154,Аркуш1!$M$154,IF($E$2=Аркуш1!$A$160,Аркуш1!$M$160,IF($E$2=Аркуш1!$A$168,Аркуш1!$M$168,IF($E$2=Аркуш1!$A$177,Аркуш1!$M$177,"")))))))))))))))))))))))))&amp;IF($E$2=Аркуш1!$A$180,Аркуш1!$M$180,"")</f>
        <v/>
      </c>
      <c r="U3" s="133" t="s">
        <v>45</v>
      </c>
      <c r="V3" s="125">
        <f>IF(E2="",0,1)</f>
        <v>1</v>
      </c>
      <c r="W3" s="125">
        <f>IF(E6="",0,1)</f>
        <v>0</v>
      </c>
      <c r="X3" s="125">
        <f>IF(AND(F8=0,F10=0),0,IF(AND(F8&gt;0,F10=""),1,IF(AND(F8=0,F10&gt;0),2,3)))</f>
        <v>0</v>
      </c>
      <c r="Y3" s="122"/>
      <c r="Z3" s="134"/>
      <c r="AA3" s="128"/>
      <c r="AB3" s="135" t="s">
        <v>3</v>
      </c>
      <c r="AC3" s="265" t="s">
        <v>18</v>
      </c>
      <c r="AD3" s="266"/>
      <c r="AE3" s="136" t="s">
        <v>4</v>
      </c>
      <c r="AF3" s="136" t="s">
        <v>5</v>
      </c>
      <c r="AG3" s="267" t="s">
        <v>6</v>
      </c>
      <c r="AH3" s="268"/>
      <c r="AI3" s="267" t="s">
        <v>7</v>
      </c>
      <c r="AJ3" s="268"/>
      <c r="AK3" s="137" t="str">
        <f>IFERROR(-N2+(N8+N10+N12+N6+N14),"")</f>
        <v/>
      </c>
    </row>
    <row r="4" spans="1:108" ht="32.25" customHeight="1" thickBot="1" x14ac:dyDescent="0.3">
      <c r="A4" s="11"/>
      <c r="B4" s="236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$48,Аркуш1!$M$48,IF($E$2=Аркуш1!$A$55,Аркуш1!$M$55,IF($E$2=Аркуш1!$A$64,Аркуш1!$M$64,IF($E$2=Аркуш1!$A$71,Аркуш1!$M$71,IF($E$2=Аркуш1!$A$79,Аркуш1!$M$79,IF($E$2=Аркуш1!$A$87,Аркуш1!$M$87,IF($E$2=Аркуш1!$A$96,Аркуш1!$M$96,IF($E$2=Аркуш1!$A$105,Аркуш1!$M$105,IF($E$2=Аркуш1!$A$113,Аркуш1!$M$113,IF($E$2=Аркуш1!$A$121,Аркуш1!$M$121,IF($E$2=Аркуш1!$A$129,Аркуш1!$M$129,IF($E$2=Аркуш1!$A$137,Аркуш1!$M$137,IF($E$2=Аркуш1!$A$145,Аркуш1!$M$145,IF($E$2=Аркуш1!$A$154,Аркуш1!$M$154,IF($E$2=Аркуш1!$A$160,Аркуш1!$M$160,IF($E$2=Аркуш1!$A$168,Аркуш1!$M$168,IF($E$2=Аркуш1!$A$177,Аркуш1!$M$177,"")))))))))))))))))))))))))&amp;IF($E$2=Аркуш1!$A$180,Аркуш1!$M$180,IF($E$2=Аркуш1!A189,Аркуш1!M189,IF($E$2=Аркуш1!A204,Аркуш1!M204,IF($E$2=Аркуш1!A198,Аркуш1!M198,""))))</f>
        <v/>
      </c>
      <c r="C4" s="237"/>
      <c r="D4" s="237"/>
      <c r="E4" s="237"/>
      <c r="F4" s="237"/>
      <c r="G4" s="101"/>
      <c r="H4" s="11"/>
      <c r="I4" s="11"/>
      <c r="J4" s="11"/>
      <c r="K4" s="11"/>
      <c r="L4" s="213" t="s">
        <v>131</v>
      </c>
      <c r="M4" s="214"/>
      <c r="N4" s="89" t="str">
        <f>IF(X4=1,F8/E6,IF(X4=2,E6/100*F10,""))</f>
        <v/>
      </c>
      <c r="O4" s="117"/>
      <c r="R4" s="124">
        <v>36</v>
      </c>
      <c r="S4" s="138">
        <v>84</v>
      </c>
      <c r="T4" s="139">
        <f>IF(T2=E2,IF(AND(E2=T2,Аркуш1!M48=Аркуш1!C49),0,IF(AND(E2=T2,Аркуш1!M48=Аркуш1!C50),0,IF(AND(E2=T2,Аркуш1!M48=Аркуш1!C51),0,IF(AND(E2=T2,Аркуш1!M48=Аркуш1!C52),0,IF(AND(E2=T2,Аркуш1!M48=Аркуш1!C53),0,1))))),0)</f>
        <v>0</v>
      </c>
      <c r="U4" s="139">
        <f>IF(T3="Сума авансового платежу перевищує вартість авто",1,IF(T3="Сума авансового платежу дорівнює вартості авто",1,IF(T3="Сума авансового платежу недостатня",1,IF(T3="Сума авансового платежу перевищує допустиму суму аванс по продукту",1,0))))</f>
        <v>0</v>
      </c>
      <c r="V4" s="125">
        <f>IF(F8="",0,1)</f>
        <v>0</v>
      </c>
      <c r="W4" s="125">
        <f>IF(F10="",0,1)</f>
        <v>0</v>
      </c>
      <c r="X4" s="125">
        <f>IF(AND(V4=1,W4=0),1,IF(AND(W4=1,V4=0),2,IF(AND(V4=1,W4=1),3,IF(AND(V4=0,W4=0),4))))</f>
        <v>4</v>
      </c>
      <c r="AA4" s="128"/>
      <c r="AB4" s="140">
        <f ca="1">DATE(YEAR($V$19),MONTH($V$19)+1,DAY(1)-1)</f>
        <v>44530</v>
      </c>
      <c r="AC4" s="269">
        <v>1</v>
      </c>
      <c r="AD4" s="270"/>
      <c r="AE4" s="141">
        <f>AI4-AG4</f>
        <v>8744.9090417734042</v>
      </c>
      <c r="AF4" s="142"/>
      <c r="AG4" s="271">
        <f>N2*AL4/12</f>
        <v>0</v>
      </c>
      <c r="AH4" s="272"/>
      <c r="AI4" s="273">
        <f>$V$7</f>
        <v>8744.9090417734042</v>
      </c>
      <c r="AJ4" s="274"/>
      <c r="AK4" s="129">
        <f t="shared" ref="AK4:AK35" si="0">IFERROR(AI4+AM4+AN4,0)</f>
        <v>8744.9090417734042</v>
      </c>
      <c r="AL4" s="143">
        <f>VLOOKUP(AC4,$T$7:$U$8,2)</f>
        <v>0</v>
      </c>
      <c r="AM4" s="137"/>
      <c r="AP4" s="144">
        <f>$N$2-AE4</f>
        <v>-8744.9090417734042</v>
      </c>
    </row>
    <row r="5" spans="1:108" ht="4.5" customHeight="1" thickBot="1" x14ac:dyDescent="0.3">
      <c r="A5" s="30"/>
      <c r="B5" s="33"/>
      <c r="C5" s="101"/>
      <c r="D5" s="101"/>
      <c r="E5" s="101"/>
      <c r="F5" s="101"/>
      <c r="G5" s="101"/>
      <c r="H5" s="11"/>
      <c r="L5" s="30"/>
      <c r="M5" s="30"/>
      <c r="N5" s="30"/>
      <c r="O5" s="117"/>
      <c r="R5" s="145">
        <v>48</v>
      </c>
      <c r="S5" s="117"/>
      <c r="T5" s="127"/>
      <c r="U5" s="117"/>
      <c r="V5" s="127"/>
      <c r="W5" s="134"/>
      <c r="X5" s="127"/>
      <c r="Y5" s="122"/>
      <c r="Z5" s="117"/>
      <c r="AA5" s="128"/>
      <c r="AB5" s="140">
        <f t="shared" ref="AB5:AB68" ca="1" si="1">IF(AC5="","",DATE(YEAR(AB4),MONTH(AB4)+2,DAY(1)-1))</f>
        <v>44561</v>
      </c>
      <c r="AC5" s="261">
        <v>2</v>
      </c>
      <c r="AD5" s="262"/>
      <c r="AE5" s="141">
        <f t="shared" ref="AE5:AE68" si="2">AI5-AG5</f>
        <v>8744.9090417734042</v>
      </c>
      <c r="AF5" s="142"/>
      <c r="AG5" s="263">
        <f>AP4*AL5/12</f>
        <v>0</v>
      </c>
      <c r="AH5" s="264"/>
      <c r="AI5" s="256">
        <f t="shared" ref="AI5:AI68" si="3">$V$7</f>
        <v>8744.9090417734042</v>
      </c>
      <c r="AJ5" s="257"/>
      <c r="AK5" s="129">
        <f t="shared" si="0"/>
        <v>8744.9090417734042</v>
      </c>
      <c r="AL5" s="146">
        <f t="shared" ref="AL5:AL68" si="4">VLOOKUP(AC5,$T$7:$U$8,2)</f>
        <v>0</v>
      </c>
      <c r="AM5" s="137"/>
      <c r="AP5" s="144">
        <f>AP4-AE5</f>
        <v>-17489.818083546808</v>
      </c>
    </row>
    <row r="6" spans="1:108" ht="16.5" customHeight="1" thickBot="1" x14ac:dyDescent="0.3">
      <c r="A6" s="30"/>
      <c r="B6" s="238" t="s">
        <v>126</v>
      </c>
      <c r="C6" s="239"/>
      <c r="D6" s="240"/>
      <c r="E6" s="232"/>
      <c r="F6" s="233"/>
      <c r="G6" s="30"/>
      <c r="H6" s="11"/>
      <c r="L6" s="213" t="s">
        <v>134</v>
      </c>
      <c r="M6" s="214"/>
      <c r="N6" s="89">
        <f>IF(E14="","",S33*N2)</f>
        <v>0</v>
      </c>
      <c r="O6" s="117"/>
      <c r="R6" s="131">
        <v>60</v>
      </c>
      <c r="S6" s="117"/>
      <c r="T6" s="127"/>
      <c r="U6" s="117"/>
      <c r="V6" s="117"/>
      <c r="W6" s="134"/>
      <c r="X6" s="127"/>
      <c r="Y6" s="122"/>
      <c r="Z6" s="117"/>
      <c r="AA6" s="128"/>
      <c r="AB6" s="140">
        <f t="shared" ca="1" si="1"/>
        <v>44592</v>
      </c>
      <c r="AC6" s="261">
        <v>3</v>
      </c>
      <c r="AD6" s="262"/>
      <c r="AE6" s="141">
        <f t="shared" si="2"/>
        <v>8744.9090417734042</v>
      </c>
      <c r="AF6" s="142"/>
      <c r="AG6" s="263">
        <f t="shared" ref="AG6:AG69" si="5">AP5*AL6/12</f>
        <v>0</v>
      </c>
      <c r="AH6" s="264"/>
      <c r="AI6" s="256">
        <f t="shared" si="3"/>
        <v>8744.9090417734042</v>
      </c>
      <c r="AJ6" s="257"/>
      <c r="AK6" s="129">
        <f t="shared" si="0"/>
        <v>8744.9090417734042</v>
      </c>
      <c r="AL6" s="146">
        <f t="shared" si="4"/>
        <v>0</v>
      </c>
      <c r="AM6" s="137"/>
      <c r="AP6" s="144">
        <f t="shared" ref="AP6:AP69" si="6">AP5-AE6</f>
        <v>-26234.727125320213</v>
      </c>
    </row>
    <row r="7" spans="1:108" ht="6" customHeight="1" thickBot="1" x14ac:dyDescent="0.3">
      <c r="A7" s="30"/>
      <c r="B7" s="30"/>
      <c r="C7" s="30"/>
      <c r="D7" s="30"/>
      <c r="E7" s="30"/>
      <c r="F7" s="30"/>
      <c r="G7" s="30"/>
      <c r="H7" s="30"/>
      <c r="J7" s="30"/>
      <c r="K7" s="30"/>
      <c r="L7" s="30"/>
      <c r="M7" s="30"/>
      <c r="N7" s="30"/>
      <c r="O7" s="117"/>
      <c r="R7" s="124">
        <v>72</v>
      </c>
      <c r="S7" s="117"/>
      <c r="T7" s="147">
        <v>0</v>
      </c>
      <c r="U7" s="148">
        <v>1E-4</v>
      </c>
      <c r="V7" s="149">
        <v>8744.9090417734042</v>
      </c>
      <c r="W7" s="117"/>
      <c r="X7" s="127"/>
      <c r="Y7" s="122"/>
      <c r="Z7" s="117"/>
      <c r="AA7" s="128"/>
      <c r="AB7" s="140">
        <f t="shared" ca="1" si="1"/>
        <v>44620</v>
      </c>
      <c r="AC7" s="261">
        <v>4</v>
      </c>
      <c r="AD7" s="262"/>
      <c r="AE7" s="141">
        <f t="shared" si="2"/>
        <v>8744.9090417734042</v>
      </c>
      <c r="AF7" s="142"/>
      <c r="AG7" s="263">
        <f t="shared" si="5"/>
        <v>0</v>
      </c>
      <c r="AH7" s="264"/>
      <c r="AI7" s="256">
        <f t="shared" si="3"/>
        <v>8744.9090417734042</v>
      </c>
      <c r="AJ7" s="257"/>
      <c r="AK7" s="129">
        <f t="shared" si="0"/>
        <v>8744.9090417734042</v>
      </c>
      <c r="AL7" s="146">
        <f t="shared" si="4"/>
        <v>0</v>
      </c>
      <c r="AM7" s="137"/>
      <c r="AP7" s="144">
        <f t="shared" si="6"/>
        <v>-34979.636167093617</v>
      </c>
    </row>
    <row r="8" spans="1:108" ht="17.25" customHeight="1" thickBot="1" x14ac:dyDescent="0.3">
      <c r="A8" s="30"/>
      <c r="B8" s="241" t="s">
        <v>127</v>
      </c>
      <c r="C8" s="242"/>
      <c r="D8" s="243"/>
      <c r="E8" s="77" t="s">
        <v>128</v>
      </c>
      <c r="F8" s="83"/>
      <c r="G8" s="30"/>
      <c r="H8" s="30"/>
      <c r="L8" s="213" t="str">
        <f>IF(E2=Аркуш1!R16,"Страхування КАСКО на два роки (грн)","Страхування КАСКО, щорічно (грн)")</f>
        <v>Страхування КАСКО, щорічно (грн)</v>
      </c>
      <c r="M8" s="214"/>
      <c r="N8" s="89">
        <f>IFERROR(E6*T33+IF(OR(E2="Доступний",E2="Kredo Hyundai SE"),AO16,0)+IF(E2="Kredo Hyundai SE",AO28,0),"")</f>
        <v>0</v>
      </c>
      <c r="O8" s="117"/>
      <c r="R8" s="138">
        <v>84</v>
      </c>
      <c r="S8" s="117"/>
      <c r="T8" s="147">
        <f>Q50+1</f>
        <v>1</v>
      </c>
      <c r="U8" s="150">
        <f>R33/100</f>
        <v>0</v>
      </c>
      <c r="V8" s="151" t="b">
        <f>IF(E12=12,AP15,IF(E12=24,AP27,IF(E12=36,AP39,IF(E12=48,AP51,IF(E12=60,AP63,IF(E12=72,AP75,IF(E12=84,AP87)))))))</f>
        <v>0</v>
      </c>
      <c r="W8" s="117"/>
      <c r="X8" s="117"/>
      <c r="Y8" s="117"/>
      <c r="Z8" s="117"/>
      <c r="AA8" s="128"/>
      <c r="AB8" s="140">
        <f t="shared" ca="1" si="1"/>
        <v>44651</v>
      </c>
      <c r="AC8" s="261">
        <v>5</v>
      </c>
      <c r="AD8" s="262"/>
      <c r="AE8" s="141">
        <f t="shared" si="2"/>
        <v>8744.9090417734042</v>
      </c>
      <c r="AF8" s="142"/>
      <c r="AG8" s="263">
        <f t="shared" si="5"/>
        <v>0</v>
      </c>
      <c r="AH8" s="264"/>
      <c r="AI8" s="256">
        <f t="shared" si="3"/>
        <v>8744.9090417734042</v>
      </c>
      <c r="AJ8" s="257"/>
      <c r="AK8" s="129">
        <f t="shared" si="0"/>
        <v>8744.9090417734042</v>
      </c>
      <c r="AL8" s="146">
        <f t="shared" si="4"/>
        <v>0</v>
      </c>
      <c r="AM8" s="137"/>
      <c r="AP8" s="144">
        <f t="shared" si="6"/>
        <v>-43724.545208867021</v>
      </c>
    </row>
    <row r="9" spans="1:108" ht="15" customHeight="1" thickBot="1" x14ac:dyDescent="0.3">
      <c r="A9" s="30"/>
      <c r="B9" s="244"/>
      <c r="C9" s="245"/>
      <c r="D9" s="246"/>
      <c r="E9" s="250" t="s">
        <v>130</v>
      </c>
      <c r="F9" s="251"/>
      <c r="G9" s="30"/>
      <c r="H9" s="11"/>
      <c r="I9" s="11"/>
      <c r="J9" s="11"/>
      <c r="K9" s="11"/>
      <c r="L9" s="11"/>
      <c r="M9" s="11"/>
      <c r="N9" s="11"/>
      <c r="O9" s="117"/>
      <c r="S9" s="117"/>
      <c r="T9" s="117"/>
      <c r="U9" s="117"/>
      <c r="V9" s="117"/>
      <c r="W9" s="117"/>
      <c r="X9" s="117"/>
      <c r="Y9" s="117"/>
      <c r="AA9" s="128"/>
      <c r="AB9" s="140">
        <f t="shared" ca="1" si="1"/>
        <v>44681</v>
      </c>
      <c r="AC9" s="261">
        <v>6</v>
      </c>
      <c r="AD9" s="262"/>
      <c r="AE9" s="141">
        <f t="shared" si="2"/>
        <v>8744.9090417734042</v>
      </c>
      <c r="AF9" s="142"/>
      <c r="AG9" s="263">
        <f t="shared" si="5"/>
        <v>0</v>
      </c>
      <c r="AH9" s="264"/>
      <c r="AI9" s="256">
        <f t="shared" si="3"/>
        <v>8744.9090417734042</v>
      </c>
      <c r="AJ9" s="257"/>
      <c r="AK9" s="129">
        <f t="shared" si="0"/>
        <v>8744.9090417734042</v>
      </c>
      <c r="AL9" s="146">
        <f t="shared" si="4"/>
        <v>0</v>
      </c>
      <c r="AM9" s="137"/>
      <c r="AP9" s="144">
        <f t="shared" si="6"/>
        <v>-52469.454250640425</v>
      </c>
    </row>
    <row r="10" spans="1:108" ht="16.5" customHeight="1" thickBot="1" x14ac:dyDescent="0.3">
      <c r="A10" s="30"/>
      <c r="B10" s="247"/>
      <c r="C10" s="248"/>
      <c r="D10" s="249"/>
      <c r="E10" s="77" t="s">
        <v>129</v>
      </c>
      <c r="F10" s="87"/>
      <c r="G10" s="30"/>
      <c r="H10" s="11"/>
      <c r="L10" s="213" t="s">
        <v>180</v>
      </c>
      <c r="M10" s="214"/>
      <c r="N10" s="88" t="str">
        <f>IF(E12=0,"",N2*R12)</f>
        <v/>
      </c>
      <c r="O10" s="117"/>
      <c r="S10" s="117"/>
      <c r="T10" s="117"/>
      <c r="U10" s="117"/>
      <c r="V10" s="117"/>
      <c r="W10" s="117"/>
      <c r="X10" s="117"/>
      <c r="Y10" s="117"/>
      <c r="Z10" s="117"/>
      <c r="AA10" s="128"/>
      <c r="AB10" s="140">
        <f t="shared" ca="1" si="1"/>
        <v>44712</v>
      </c>
      <c r="AC10" s="261">
        <v>7</v>
      </c>
      <c r="AD10" s="262"/>
      <c r="AE10" s="141">
        <f t="shared" si="2"/>
        <v>8744.9090417734042</v>
      </c>
      <c r="AF10" s="142"/>
      <c r="AG10" s="263">
        <f t="shared" si="5"/>
        <v>0</v>
      </c>
      <c r="AH10" s="264"/>
      <c r="AI10" s="256">
        <f t="shared" si="3"/>
        <v>8744.9090417734042</v>
      </c>
      <c r="AJ10" s="257"/>
      <c r="AK10" s="129">
        <f t="shared" si="0"/>
        <v>8744.9090417734042</v>
      </c>
      <c r="AL10" s="146">
        <f t="shared" si="4"/>
        <v>0</v>
      </c>
      <c r="AM10" s="137"/>
      <c r="AP10" s="144">
        <f t="shared" si="6"/>
        <v>-61214.363292413829</v>
      </c>
    </row>
    <row r="11" spans="1:108" ht="9" customHeight="1" thickBot="1" x14ac:dyDescent="0.3">
      <c r="A11" s="30"/>
      <c r="B11" s="30"/>
      <c r="C11" s="30"/>
      <c r="D11" s="30"/>
      <c r="E11" s="30"/>
      <c r="F11" s="30"/>
      <c r="G11" s="30"/>
      <c r="H11" s="11"/>
      <c r="I11" s="11"/>
      <c r="J11" s="11"/>
      <c r="K11" s="11"/>
      <c r="L11" s="11"/>
      <c r="M11" s="11"/>
      <c r="N11" s="11"/>
      <c r="O11" s="117"/>
      <c r="R11" s="149" t="s">
        <v>28</v>
      </c>
      <c r="S11" s="152"/>
      <c r="T11" s="117"/>
      <c r="U11" s="117"/>
      <c r="V11" s="117"/>
      <c r="W11" s="117"/>
      <c r="X11" s="117"/>
      <c r="Y11" s="117"/>
      <c r="Z11" s="117"/>
      <c r="AA11" s="128"/>
      <c r="AB11" s="140">
        <f t="shared" ca="1" si="1"/>
        <v>44742</v>
      </c>
      <c r="AC11" s="261">
        <v>8</v>
      </c>
      <c r="AD11" s="262"/>
      <c r="AE11" s="141">
        <f t="shared" si="2"/>
        <v>8744.9090417734042</v>
      </c>
      <c r="AF11" s="142"/>
      <c r="AG11" s="263">
        <f t="shared" si="5"/>
        <v>0</v>
      </c>
      <c r="AH11" s="264"/>
      <c r="AI11" s="256">
        <f t="shared" si="3"/>
        <v>8744.9090417734042</v>
      </c>
      <c r="AJ11" s="257"/>
      <c r="AK11" s="129">
        <f t="shared" si="0"/>
        <v>8744.9090417734042</v>
      </c>
      <c r="AL11" s="146">
        <f t="shared" si="4"/>
        <v>0</v>
      </c>
      <c r="AM11" s="137"/>
      <c r="AP11" s="144">
        <f t="shared" si="6"/>
        <v>-69959.272334187233</v>
      </c>
    </row>
    <row r="12" spans="1:108" ht="18" customHeight="1" thickBot="1" x14ac:dyDescent="0.3">
      <c r="A12" s="30"/>
      <c r="B12" s="213" t="s">
        <v>183</v>
      </c>
      <c r="C12" s="214"/>
      <c r="D12" s="214"/>
      <c r="E12" s="252"/>
      <c r="F12" s="253"/>
      <c r="G12" s="34"/>
      <c r="H12" s="34"/>
      <c r="I12" s="34"/>
      <c r="J12" s="34"/>
      <c r="K12" s="34"/>
      <c r="L12" s="213" t="s">
        <v>132</v>
      </c>
      <c r="M12" s="214"/>
      <c r="N12" s="89" t="str">
        <f>IF(E12=0,"",3085)</f>
        <v/>
      </c>
      <c r="O12" s="117"/>
      <c r="Q12" s="153"/>
      <c r="R12" s="154">
        <f>IF(E2=Аркуш1!A3,Аркуш1!L4,IF(E2=Аркуш1!A11,Аркуш1!L12,IF(E2=Аркуш1!A20,Аркуш1!L21,IF(E2=Аркуш1!A23,Аркуш1!L24,IF(E2=Аркуш1!A31,Аркуш1!L32,IF(E2=Аркуш1!A39,Аркуш1!L40,IF(E2=Аркуш1!A48,Аркуш1!L49,IF(E2=Аркуш1!A55,Аркуш1!L56))))))))+IF(E2=Аркуш1!A64,Аркуш1!L65,IF(E2=Аркуш1!A71,Аркуш1!L72,IF(E2=Аркуш1!A79,Аркуш1!L80,IF(E2=Аркуш1!A87,Аркуш1!L88,IF(E2=Аркуш1!A96,Аркуш1!L97,IF(E2=Аркуш1!A105,Аркуш1!L106,IF(E2=Аркуш1!A113,Аркуш1!L114,IF(E2=Аркуш1!A121,Аркуш1!L122))))))))+IF(E2=Аркуш1!A129,Аркуш1!L130,IF(E2=Аркуш1!A137,Аркуш1!L138,IF(E2=Аркуш1!A145,Аркуш1!L146,IF(E2=Аркуш1!A154,Аркуш1!L155,IF(E2=Аркуш1!A160,Аркуш1!L161,IF(E2=Аркуш1!A168,Аркуш1!L169,IF(E2=Аркуш1!A177,Аркуш1!L178,IF(E2=Аркуш1!A180,Аркуш1!L181,IF(E2=Аркуш1!A189,Аркуш1!L190,IF(E2=Аркуш1!A198,Аркуш1!L199,IF(E2=Аркуш1!A204,Аркуш1!L205)))))))))))</f>
        <v>0</v>
      </c>
      <c r="S12" s="153"/>
      <c r="T12" s="153"/>
      <c r="U12" s="153"/>
      <c r="AA12" s="128"/>
      <c r="AB12" s="155">
        <f t="shared" ca="1" si="1"/>
        <v>44773</v>
      </c>
      <c r="AC12" s="261">
        <v>9</v>
      </c>
      <c r="AD12" s="262"/>
      <c r="AE12" s="141">
        <f t="shared" si="2"/>
        <v>8744.9090417734042</v>
      </c>
      <c r="AF12" s="142"/>
      <c r="AG12" s="263">
        <f t="shared" si="5"/>
        <v>0</v>
      </c>
      <c r="AH12" s="264"/>
      <c r="AI12" s="256">
        <f t="shared" si="3"/>
        <v>8744.9090417734042</v>
      </c>
      <c r="AJ12" s="257"/>
      <c r="AK12" s="129">
        <f t="shared" si="0"/>
        <v>8744.9090417734042</v>
      </c>
      <c r="AL12" s="146">
        <f t="shared" si="4"/>
        <v>0</v>
      </c>
      <c r="AM12" s="137"/>
      <c r="AP12" s="144">
        <f t="shared" si="6"/>
        <v>-78704.181375960645</v>
      </c>
    </row>
    <row r="13" spans="1:108" s="13" customFormat="1" ht="5.25" customHeight="1" thickBo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17"/>
      <c r="P13" s="156"/>
      <c r="Q13" s="157"/>
      <c r="R13" s="158">
        <f>IF(R12=0,0%,5.99%)</f>
        <v>0</v>
      </c>
      <c r="S13" s="157"/>
      <c r="T13" s="157"/>
      <c r="U13" s="157"/>
      <c r="V13" s="121"/>
      <c r="W13" s="121"/>
      <c r="X13" s="121"/>
      <c r="Y13" s="121"/>
      <c r="Z13" s="121"/>
      <c r="AA13" s="128"/>
      <c r="AB13" s="155">
        <f t="shared" ca="1" si="1"/>
        <v>44804</v>
      </c>
      <c r="AC13" s="261">
        <v>10</v>
      </c>
      <c r="AD13" s="262"/>
      <c r="AE13" s="141">
        <f t="shared" si="2"/>
        <v>8744.9090417734042</v>
      </c>
      <c r="AF13" s="142"/>
      <c r="AG13" s="263">
        <f t="shared" si="5"/>
        <v>0</v>
      </c>
      <c r="AH13" s="264"/>
      <c r="AI13" s="256">
        <f t="shared" si="3"/>
        <v>8744.9090417734042</v>
      </c>
      <c r="AJ13" s="257"/>
      <c r="AK13" s="129">
        <f t="shared" si="0"/>
        <v>8744.9090417734042</v>
      </c>
      <c r="AL13" s="146">
        <f t="shared" si="4"/>
        <v>0</v>
      </c>
      <c r="AM13" s="137"/>
      <c r="AN13" s="156"/>
      <c r="AO13" s="156"/>
      <c r="AP13" s="144">
        <f t="shared" si="6"/>
        <v>-87449.090417734056</v>
      </c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</row>
    <row r="14" spans="1:108" ht="34.5" customHeight="1" thickBot="1" x14ac:dyDescent="0.3">
      <c r="A14" s="30"/>
      <c r="B14" s="213" t="s">
        <v>9</v>
      </c>
      <c r="C14" s="214"/>
      <c r="D14" s="217"/>
      <c r="E14" s="215" t="str">
        <f>IF(T4=1,"",IF(U4=1,"",IF(R33=0,"",R33)))</f>
        <v>0</v>
      </c>
      <c r="F14" s="216"/>
      <c r="G14" s="30"/>
      <c r="H14" s="30"/>
      <c r="J14" s="30"/>
      <c r="K14" s="30"/>
      <c r="L14" s="254" t="s">
        <v>205</v>
      </c>
      <c r="M14" s="255"/>
      <c r="N14" s="89">
        <f>U33</f>
        <v>0</v>
      </c>
      <c r="O14" s="159"/>
      <c r="Q14" s="117"/>
      <c r="R14" s="121" t="s">
        <v>12</v>
      </c>
      <c r="T14" s="117"/>
      <c r="U14" s="117"/>
      <c r="X14" s="160" t="s">
        <v>10</v>
      </c>
      <c r="AA14" s="128"/>
      <c r="AB14" s="155">
        <f t="shared" ca="1" si="1"/>
        <v>44834</v>
      </c>
      <c r="AC14" s="261">
        <v>11</v>
      </c>
      <c r="AD14" s="262"/>
      <c r="AE14" s="141">
        <f t="shared" si="2"/>
        <v>8744.9090417734042</v>
      </c>
      <c r="AF14" s="142"/>
      <c r="AG14" s="263">
        <f t="shared" si="5"/>
        <v>0</v>
      </c>
      <c r="AH14" s="264"/>
      <c r="AI14" s="256">
        <f t="shared" si="3"/>
        <v>8744.9090417734042</v>
      </c>
      <c r="AJ14" s="257"/>
      <c r="AK14" s="129">
        <f t="shared" si="0"/>
        <v>8744.9090417734042</v>
      </c>
      <c r="AL14" s="146">
        <f t="shared" si="4"/>
        <v>0</v>
      </c>
      <c r="AM14" s="137"/>
      <c r="AP14" s="144">
        <f t="shared" si="6"/>
        <v>-96193.999459507468</v>
      </c>
    </row>
    <row r="15" spans="1:108" s="13" customFormat="1" ht="8.25" customHeight="1" thickBot="1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17"/>
      <c r="P15" s="156"/>
      <c r="Q15" s="117" t="s">
        <v>22</v>
      </c>
      <c r="R15" s="161">
        <f>$E$6-IF($X$4=1,$F$8,IF($X$4=2,$E$6/100*$F$10,0))+$N$8</f>
        <v>0</v>
      </c>
      <c r="S15" s="121"/>
      <c r="T15" s="117"/>
      <c r="U15" s="117"/>
      <c r="V15" s="121"/>
      <c r="W15" s="121"/>
      <c r="X15" s="162" t="s">
        <v>11</v>
      </c>
      <c r="Y15" s="121"/>
      <c r="Z15" s="121"/>
      <c r="AA15" s="128"/>
      <c r="AB15" s="155">
        <f t="shared" ca="1" si="1"/>
        <v>44865</v>
      </c>
      <c r="AC15" s="261">
        <v>12</v>
      </c>
      <c r="AD15" s="262"/>
      <c r="AE15" s="141">
        <f t="shared" si="2"/>
        <v>8744.9090417734042</v>
      </c>
      <c r="AF15" s="142"/>
      <c r="AG15" s="263">
        <f t="shared" si="5"/>
        <v>0</v>
      </c>
      <c r="AH15" s="264"/>
      <c r="AI15" s="256">
        <f t="shared" si="3"/>
        <v>8744.9090417734042</v>
      </c>
      <c r="AJ15" s="257"/>
      <c r="AK15" s="129">
        <f t="shared" si="0"/>
        <v>8744.9090417734042</v>
      </c>
      <c r="AL15" s="146">
        <f t="shared" si="4"/>
        <v>0</v>
      </c>
      <c r="AM15" s="137"/>
      <c r="AN15" s="156"/>
      <c r="AO15" s="156"/>
      <c r="AP15" s="144">
        <f t="shared" si="6"/>
        <v>-104938.90850128088</v>
      </c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ht="44.25" customHeight="1" thickBot="1" x14ac:dyDescent="0.3">
      <c r="A16" s="11"/>
      <c r="B16" s="220" t="s">
        <v>182</v>
      </c>
      <c r="C16" s="221"/>
      <c r="D16" s="222"/>
      <c r="E16" s="226" t="str">
        <f>IFERROR(IF(AND(V8&lt;0.0001,V8&gt;-0.0001),AI4,"Натисніть Розрахунок"),"")</f>
        <v>Натисніть Розрахунок</v>
      </c>
      <c r="F16" s="227"/>
      <c r="G16" s="30"/>
      <c r="H16" s="30"/>
      <c r="L16" s="213" t="s">
        <v>179</v>
      </c>
      <c r="M16" s="217"/>
      <c r="N16" s="89" t="str">
        <f>IF(AND(V8&lt;0.0001,V8&gt;-0.0001),IF(E16="","",AG90),"Натисніть Розрахунок")</f>
        <v>Натисніть Розрахунок</v>
      </c>
      <c r="Q16" s="117" t="s">
        <v>23</v>
      </c>
      <c r="R16" s="163">
        <f>$E$6-IF($X$4=1,$F$8,IF($X$4=2,$E$6/100*$F$10))</f>
        <v>0</v>
      </c>
      <c r="T16" s="117"/>
      <c r="U16" s="117"/>
      <c r="AA16" s="128"/>
      <c r="AB16" s="155">
        <f t="shared" ca="1" si="1"/>
        <v>44895</v>
      </c>
      <c r="AC16" s="261">
        <v>13</v>
      </c>
      <c r="AD16" s="262"/>
      <c r="AE16" s="141">
        <f t="shared" si="2"/>
        <v>8744.9090417734042</v>
      </c>
      <c r="AF16" s="142"/>
      <c r="AG16" s="263">
        <f t="shared" si="5"/>
        <v>0</v>
      </c>
      <c r="AH16" s="264"/>
      <c r="AI16" s="256">
        <f t="shared" si="3"/>
        <v>8744.9090417734042</v>
      </c>
      <c r="AJ16" s="257"/>
      <c r="AK16" s="129">
        <f t="shared" si="0"/>
        <v>0</v>
      </c>
      <c r="AL16" s="146">
        <f t="shared" si="4"/>
        <v>0</v>
      </c>
      <c r="AM16" s="137" t="str">
        <f>IF($E$12&gt;$R$2,$E$6*0.9*5.5%,"")</f>
        <v/>
      </c>
      <c r="AN16" s="164"/>
      <c r="AO16" s="118">
        <f>IF(E2="Доступний",$E$6*0.9*5.5%,IF(AND(E2="Kredo Hyundai SE",E12&gt;12),$E$6*0.9*5.5%,0))</f>
        <v>0</v>
      </c>
      <c r="AP16" s="144">
        <f t="shared" si="6"/>
        <v>-113683.81754305429</v>
      </c>
    </row>
    <row r="17" spans="1:42" ht="6" customHeight="1" thickBot="1" x14ac:dyDescent="0.3">
      <c r="A17" s="11"/>
      <c r="B17" s="223"/>
      <c r="C17" s="224"/>
      <c r="D17" s="225"/>
      <c r="E17" s="228"/>
      <c r="F17" s="229"/>
      <c r="G17" s="30"/>
      <c r="H17" s="30"/>
      <c r="J17" s="30"/>
      <c r="K17" s="30"/>
      <c r="L17" s="30"/>
      <c r="M17" s="30"/>
      <c r="N17" s="30"/>
      <c r="O17" s="117"/>
      <c r="Q17" s="117"/>
      <c r="X17" s="165" t="s">
        <v>8</v>
      </c>
      <c r="AA17" s="128"/>
      <c r="AB17" s="155">
        <f t="shared" ca="1" si="1"/>
        <v>44926</v>
      </c>
      <c r="AC17" s="261">
        <v>14</v>
      </c>
      <c r="AD17" s="262"/>
      <c r="AE17" s="141">
        <f t="shared" si="2"/>
        <v>8744.9090417734042</v>
      </c>
      <c r="AF17" s="142"/>
      <c r="AG17" s="263">
        <f t="shared" si="5"/>
        <v>0</v>
      </c>
      <c r="AH17" s="264"/>
      <c r="AI17" s="256">
        <f t="shared" si="3"/>
        <v>8744.9090417734042</v>
      </c>
      <c r="AJ17" s="257"/>
      <c r="AK17" s="129">
        <f t="shared" si="0"/>
        <v>8744.9090417734042</v>
      </c>
      <c r="AL17" s="146">
        <f t="shared" si="4"/>
        <v>0</v>
      </c>
      <c r="AM17" s="137"/>
      <c r="AP17" s="144">
        <f t="shared" si="6"/>
        <v>-122428.7265848277</v>
      </c>
    </row>
    <row r="18" spans="1:42" ht="6" customHeight="1" thickBot="1" x14ac:dyDescent="0.3">
      <c r="A18" s="30"/>
      <c r="B18" s="30"/>
      <c r="C18" s="30"/>
      <c r="D18" s="30"/>
      <c r="E18" s="30"/>
      <c r="F18" s="30"/>
      <c r="G18" s="30"/>
      <c r="H18" s="30"/>
      <c r="J18" s="30"/>
      <c r="K18" s="30"/>
      <c r="L18" s="281" t="s">
        <v>185</v>
      </c>
      <c r="M18" s="282"/>
      <c r="N18" s="285" t="str">
        <f>IF(AND(V8&lt;0.0001,V8&gt;-0.0001),IFERROR(IF(N12="","",AM2+N12+AN2+N2+N16+N6+N14),""),"Натисніть Розрахунок")</f>
        <v>Натисніть Розрахунок</v>
      </c>
      <c r="O18" s="117"/>
      <c r="Q18" s="117"/>
      <c r="U18" s="166"/>
      <c r="V18" s="166"/>
      <c r="X18" s="167" t="str">
        <f>IF(OR(B4=S28,B4=S31),"Класична","")</f>
        <v>Класична</v>
      </c>
      <c r="AA18" s="128"/>
      <c r="AB18" s="155">
        <f t="shared" ca="1" si="1"/>
        <v>44957</v>
      </c>
      <c r="AC18" s="261">
        <v>15</v>
      </c>
      <c r="AD18" s="262"/>
      <c r="AE18" s="141">
        <f t="shared" si="2"/>
        <v>8744.9090417734042</v>
      </c>
      <c r="AF18" s="142"/>
      <c r="AG18" s="263">
        <f t="shared" si="5"/>
        <v>0</v>
      </c>
      <c r="AH18" s="264"/>
      <c r="AI18" s="256">
        <f t="shared" si="3"/>
        <v>8744.9090417734042</v>
      </c>
      <c r="AJ18" s="257"/>
      <c r="AK18" s="129">
        <f t="shared" si="0"/>
        <v>8744.9090417734042</v>
      </c>
      <c r="AL18" s="146">
        <f t="shared" si="4"/>
        <v>0</v>
      </c>
      <c r="AM18" s="137"/>
      <c r="AP18" s="144">
        <f t="shared" si="6"/>
        <v>-131173.63562660111</v>
      </c>
    </row>
    <row r="19" spans="1:42" ht="36.75" customHeight="1" thickBot="1" x14ac:dyDescent="0.3">
      <c r="A19" s="14"/>
      <c r="B19" s="254" t="s">
        <v>181</v>
      </c>
      <c r="C19" s="255"/>
      <c r="D19" s="280"/>
      <c r="E19" s="278" t="str">
        <f>IF(AND(V8&lt;0.0001,V8&gt;-0.0001),IFERROR(IF($E$12="","",IF($E$12=$R$2,XIRR($AK$3:$AK$15,$AB$4:$AB$16),IF($E$12=$R$3,XIRR($AK$3:$AK$27,$AB$4:$AB$28),IF($E$12=$R$4,XIRR($AK$3:$AK$39,$AB$4:$AB$40),IF($E$12=$R$5,XIRR($AK$3:$AK$51,$AB$4:$AB$52),IF($E$12=$R$6,XIRR($AK$3:$AK$63,$AB$4:$AB$64),IF($E$12=$R$7,XIRR($AK$3:$AK$75,$AB$4:$AB$76),IF($E$12=$R$8,XIRR($AK$3:$AK$87,$AB$4:$AB$88))))))))),""),"Натисніть Розрахунок")</f>
        <v>Натисніть Розрахунок</v>
      </c>
      <c r="F19" s="279"/>
      <c r="G19" s="30"/>
      <c r="H19" s="30"/>
      <c r="J19" s="30"/>
      <c r="K19" s="30"/>
      <c r="L19" s="283"/>
      <c r="M19" s="284"/>
      <c r="N19" s="286"/>
      <c r="O19" s="117"/>
      <c r="R19" s="168" t="s">
        <v>24</v>
      </c>
      <c r="T19" s="169"/>
      <c r="U19" s="121" t="s">
        <v>13</v>
      </c>
      <c r="V19" s="170">
        <f ca="1">TODAY()</f>
        <v>44511</v>
      </c>
      <c r="X19" s="171">
        <v>1</v>
      </c>
      <c r="Y19" s="149">
        <v>31</v>
      </c>
      <c r="AA19" s="128"/>
      <c r="AB19" s="155">
        <f t="shared" ca="1" si="1"/>
        <v>44985</v>
      </c>
      <c r="AC19" s="261">
        <v>16</v>
      </c>
      <c r="AD19" s="262"/>
      <c r="AE19" s="141">
        <f t="shared" si="2"/>
        <v>8744.9090417734042</v>
      </c>
      <c r="AF19" s="142"/>
      <c r="AG19" s="263">
        <f t="shared" si="5"/>
        <v>0</v>
      </c>
      <c r="AH19" s="264"/>
      <c r="AI19" s="256">
        <f t="shared" si="3"/>
        <v>8744.9090417734042</v>
      </c>
      <c r="AJ19" s="257"/>
      <c r="AK19" s="129">
        <f t="shared" si="0"/>
        <v>8744.9090417734042</v>
      </c>
      <c r="AL19" s="146">
        <f t="shared" si="4"/>
        <v>0</v>
      </c>
      <c r="AM19" s="137"/>
      <c r="AP19" s="144">
        <f t="shared" si="6"/>
        <v>-139918.54466837452</v>
      </c>
    </row>
    <row r="20" spans="1:42" ht="9" customHeight="1" thickBot="1" x14ac:dyDescent="0.3">
      <c r="A20" s="10"/>
      <c r="B20" s="10"/>
      <c r="C20" s="10"/>
      <c r="D20" s="10"/>
      <c r="E20" s="10"/>
      <c r="F20" s="10"/>
      <c r="H20" s="11"/>
      <c r="I20" s="11"/>
      <c r="J20" s="11"/>
      <c r="K20" s="11"/>
      <c r="L20" s="30"/>
      <c r="M20" s="30"/>
      <c r="N20" s="30"/>
      <c r="O20" s="117"/>
      <c r="R20" s="172" t="e">
        <f>IF(#REF!="Так",ROUND((E6-F10+N8)*#REF!/100,2),IF(#REF!="Ні",ROUND((E6-F10)*#REF!/100,2),0))</f>
        <v>#REF!</v>
      </c>
      <c r="U20" s="173" t="s">
        <v>14</v>
      </c>
      <c r="V20" s="174">
        <f ca="1">DAY(V19)</f>
        <v>11</v>
      </c>
      <c r="X20" s="149">
        <v>2</v>
      </c>
      <c r="Y20" s="149">
        <v>28</v>
      </c>
      <c r="AA20" s="128"/>
      <c r="AB20" s="155">
        <f t="shared" ca="1" si="1"/>
        <v>45016</v>
      </c>
      <c r="AC20" s="261">
        <v>17</v>
      </c>
      <c r="AD20" s="262"/>
      <c r="AE20" s="141">
        <f t="shared" si="2"/>
        <v>8744.9090417734042</v>
      </c>
      <c r="AF20" s="142"/>
      <c r="AG20" s="263">
        <f t="shared" si="5"/>
        <v>0</v>
      </c>
      <c r="AH20" s="264"/>
      <c r="AI20" s="256">
        <f t="shared" si="3"/>
        <v>8744.9090417734042</v>
      </c>
      <c r="AJ20" s="257"/>
      <c r="AK20" s="129">
        <f t="shared" si="0"/>
        <v>8744.9090417734042</v>
      </c>
      <c r="AL20" s="146">
        <f t="shared" si="4"/>
        <v>0</v>
      </c>
      <c r="AM20" s="137"/>
      <c r="AP20" s="144">
        <f t="shared" si="6"/>
        <v>-148663.45371014794</v>
      </c>
    </row>
    <row r="21" spans="1:42" ht="12" customHeight="1" thickBot="1" x14ac:dyDescent="0.3">
      <c r="A21" s="48"/>
      <c r="B21" s="48"/>
      <c r="C21" s="48"/>
      <c r="D21" s="48"/>
      <c r="E21" s="48"/>
      <c r="F21" s="80"/>
      <c r="G21" s="80"/>
      <c r="H21" s="78"/>
      <c r="I21" s="78"/>
      <c r="J21" s="78"/>
      <c r="K21" s="11"/>
      <c r="L21" s="281" t="s">
        <v>184</v>
      </c>
      <c r="M21" s="282"/>
      <c r="N21" s="285" t="str">
        <f>IF(AND(V8&lt;0.0001,V8&gt;-0.0001),IFERROR(N18-N2,""),"Натисніть Розрахунок")</f>
        <v>Натисніть Розрахунок</v>
      </c>
      <c r="O21" s="117"/>
      <c r="U21" s="175" t="s">
        <v>3</v>
      </c>
      <c r="V21" s="176">
        <f ca="1">MONTH(V19)</f>
        <v>11</v>
      </c>
      <c r="X21" s="149">
        <v>3</v>
      </c>
      <c r="Y21" s="149">
        <v>31</v>
      </c>
      <c r="AA21" s="128"/>
      <c r="AB21" s="155">
        <f t="shared" ca="1" si="1"/>
        <v>45046</v>
      </c>
      <c r="AC21" s="261">
        <v>18</v>
      </c>
      <c r="AD21" s="262"/>
      <c r="AE21" s="141">
        <f t="shared" si="2"/>
        <v>8744.9090417734042</v>
      </c>
      <c r="AF21" s="142"/>
      <c r="AG21" s="263">
        <f t="shared" si="5"/>
        <v>0</v>
      </c>
      <c r="AH21" s="264"/>
      <c r="AI21" s="256">
        <f t="shared" si="3"/>
        <v>8744.9090417734042</v>
      </c>
      <c r="AJ21" s="257"/>
      <c r="AK21" s="129">
        <f t="shared" si="0"/>
        <v>8744.9090417734042</v>
      </c>
      <c r="AL21" s="146">
        <f t="shared" si="4"/>
        <v>0</v>
      </c>
      <c r="AM21" s="137"/>
      <c r="AP21" s="144">
        <f t="shared" si="6"/>
        <v>-157408.36275192135</v>
      </c>
    </row>
    <row r="22" spans="1:42" ht="33" customHeight="1" thickBot="1" x14ac:dyDescent="0.3">
      <c r="A22" s="48"/>
      <c r="B22" s="48"/>
      <c r="C22" s="48"/>
      <c r="D22" s="48"/>
      <c r="E22" s="48"/>
      <c r="F22" s="80"/>
      <c r="G22" s="80"/>
      <c r="H22" s="78"/>
      <c r="I22" s="78"/>
      <c r="J22" s="11"/>
      <c r="K22" s="11"/>
      <c r="L22" s="283"/>
      <c r="M22" s="284"/>
      <c r="N22" s="286"/>
      <c r="O22" s="117"/>
      <c r="U22" s="177" t="s">
        <v>19</v>
      </c>
      <c r="V22" s="178">
        <v>1200000</v>
      </c>
      <c r="X22" s="149">
        <v>4</v>
      </c>
      <c r="Y22" s="149">
        <v>30</v>
      </c>
      <c r="AA22" s="128"/>
      <c r="AB22" s="155">
        <f ca="1">IF(AC22="","",DATE(YEAR(AB21),MONTH(AB21)+2,DAY(1)-1))</f>
        <v>45077</v>
      </c>
      <c r="AC22" s="261">
        <v>19</v>
      </c>
      <c r="AD22" s="262"/>
      <c r="AE22" s="141">
        <f t="shared" si="2"/>
        <v>8744.9090417734042</v>
      </c>
      <c r="AF22" s="142"/>
      <c r="AG22" s="263">
        <f t="shared" si="5"/>
        <v>0</v>
      </c>
      <c r="AH22" s="264"/>
      <c r="AI22" s="256">
        <f t="shared" si="3"/>
        <v>8744.9090417734042</v>
      </c>
      <c r="AJ22" s="257"/>
      <c r="AK22" s="129">
        <f t="shared" si="0"/>
        <v>8744.9090417734042</v>
      </c>
      <c r="AL22" s="146">
        <f t="shared" si="4"/>
        <v>0</v>
      </c>
      <c r="AM22" s="137"/>
      <c r="AP22" s="144">
        <f t="shared" si="6"/>
        <v>-166153.27179369476</v>
      </c>
    </row>
    <row r="23" spans="1:42" ht="30.75" customHeight="1" thickBot="1" x14ac:dyDescent="0.3">
      <c r="A23" s="9"/>
      <c r="B23" s="79"/>
      <c r="C23" s="79"/>
      <c r="D23" s="48"/>
      <c r="E23" s="48"/>
      <c r="F23" s="80"/>
      <c r="G23" s="80"/>
      <c r="H23" s="80"/>
      <c r="I23" s="80"/>
      <c r="J23" s="80"/>
      <c r="K23" s="80"/>
      <c r="L23" s="80"/>
      <c r="M23" s="80"/>
      <c r="N23" s="80"/>
      <c r="O23" s="117"/>
      <c r="R23" s="117"/>
      <c r="S23" s="117"/>
      <c r="U23" s="179" t="s">
        <v>25</v>
      </c>
      <c r="V23" s="180">
        <f>IF(X4=1,F8/E6*100,IF(X4=2,F10,0))</f>
        <v>0</v>
      </c>
      <c r="X23" s="149">
        <v>5</v>
      </c>
      <c r="Y23" s="149">
        <v>31</v>
      </c>
      <c r="AA23" s="128"/>
      <c r="AB23" s="155">
        <f t="shared" ca="1" si="1"/>
        <v>45107</v>
      </c>
      <c r="AC23" s="261">
        <v>20</v>
      </c>
      <c r="AD23" s="262"/>
      <c r="AE23" s="141">
        <f t="shared" si="2"/>
        <v>8744.9090417734042</v>
      </c>
      <c r="AF23" s="142"/>
      <c r="AG23" s="263">
        <f t="shared" si="5"/>
        <v>0</v>
      </c>
      <c r="AH23" s="264"/>
      <c r="AI23" s="256">
        <f t="shared" si="3"/>
        <v>8744.9090417734042</v>
      </c>
      <c r="AJ23" s="257"/>
      <c r="AK23" s="129">
        <f t="shared" si="0"/>
        <v>8744.9090417734042</v>
      </c>
      <c r="AL23" s="146">
        <f t="shared" si="4"/>
        <v>0</v>
      </c>
      <c r="AM23" s="137"/>
      <c r="AP23" s="144">
        <f t="shared" si="6"/>
        <v>-174898.18083546817</v>
      </c>
    </row>
    <row r="24" spans="1:42" ht="11.25" customHeight="1" x14ac:dyDescent="0.25">
      <c r="A24" s="9"/>
      <c r="B24" s="275"/>
      <c r="C24" s="275"/>
      <c r="D24" s="48"/>
      <c r="E24" s="48"/>
      <c r="F24" s="80"/>
      <c r="G24" s="80"/>
      <c r="H24" s="80"/>
      <c r="I24" s="80"/>
      <c r="J24" s="80"/>
      <c r="K24" s="80"/>
      <c r="L24" s="80"/>
      <c r="M24" s="80"/>
      <c r="N24" s="80"/>
      <c r="O24" s="117"/>
      <c r="Q24" s="181">
        <f ca="1">TODAY()</f>
        <v>44511</v>
      </c>
      <c r="R24" s="182" t="s">
        <v>13</v>
      </c>
      <c r="S24" s="182" t="s">
        <v>29</v>
      </c>
      <c r="X24" s="149"/>
      <c r="Y24" s="149"/>
      <c r="AA24" s="128"/>
      <c r="AB24" s="155">
        <f t="shared" ca="1" si="1"/>
        <v>45138</v>
      </c>
      <c r="AC24" s="261">
        <v>21</v>
      </c>
      <c r="AD24" s="262"/>
      <c r="AE24" s="141">
        <f t="shared" si="2"/>
        <v>8744.9090417734042</v>
      </c>
      <c r="AF24" s="142"/>
      <c r="AG24" s="263">
        <f t="shared" si="5"/>
        <v>0</v>
      </c>
      <c r="AH24" s="264"/>
      <c r="AI24" s="256">
        <f t="shared" si="3"/>
        <v>8744.9090417734042</v>
      </c>
      <c r="AJ24" s="257"/>
      <c r="AK24" s="129">
        <f t="shared" si="0"/>
        <v>8744.9090417734042</v>
      </c>
      <c r="AL24" s="146">
        <f t="shared" si="4"/>
        <v>0</v>
      </c>
      <c r="AM24" s="137"/>
      <c r="AP24" s="144">
        <f t="shared" si="6"/>
        <v>-183643.08987724158</v>
      </c>
    </row>
    <row r="25" spans="1:42" ht="12" customHeight="1" x14ac:dyDescent="0.25">
      <c r="A25" s="9"/>
      <c r="B25" s="275"/>
      <c r="C25" s="275"/>
      <c r="D25" s="48"/>
      <c r="E25" s="48"/>
      <c r="F25" s="80"/>
      <c r="G25" s="80"/>
      <c r="H25" s="80"/>
      <c r="I25" s="80"/>
      <c r="J25" s="80"/>
      <c r="K25" s="80"/>
      <c r="L25" s="80"/>
      <c r="M25" s="80"/>
      <c r="N25" s="80"/>
      <c r="O25" s="117"/>
      <c r="Q25" s="182">
        <f ca="1">IF(Q24&lt;R26,S25,IF(Q24&lt;R27,S26,S27))</f>
        <v>2270</v>
      </c>
      <c r="R25" s="181">
        <v>43831</v>
      </c>
      <c r="S25" s="182">
        <v>2102</v>
      </c>
      <c r="T25" s="183"/>
      <c r="U25" s="183"/>
      <c r="V25" s="183"/>
      <c r="W25" s="184"/>
      <c r="X25" s="149">
        <v>6</v>
      </c>
      <c r="Y25" s="149">
        <v>30</v>
      </c>
      <c r="AA25" s="128"/>
      <c r="AB25" s="155">
        <f t="shared" ca="1" si="1"/>
        <v>45169</v>
      </c>
      <c r="AC25" s="261">
        <v>22</v>
      </c>
      <c r="AD25" s="262"/>
      <c r="AE25" s="141">
        <f t="shared" si="2"/>
        <v>8744.9090417734042</v>
      </c>
      <c r="AF25" s="142"/>
      <c r="AG25" s="263">
        <f t="shared" si="5"/>
        <v>0</v>
      </c>
      <c r="AH25" s="264"/>
      <c r="AI25" s="256">
        <f t="shared" si="3"/>
        <v>8744.9090417734042</v>
      </c>
      <c r="AJ25" s="257"/>
      <c r="AK25" s="129">
        <f t="shared" si="0"/>
        <v>8744.9090417734042</v>
      </c>
      <c r="AL25" s="146">
        <f t="shared" si="4"/>
        <v>0</v>
      </c>
      <c r="AM25" s="137"/>
      <c r="AP25" s="144">
        <f t="shared" si="6"/>
        <v>-192387.99891901499</v>
      </c>
    </row>
    <row r="26" spans="1:42" ht="21.75" customHeight="1" x14ac:dyDescent="0.25">
      <c r="A26" s="9"/>
      <c r="B26" s="79"/>
      <c r="C26" s="79"/>
      <c r="D26" s="48"/>
      <c r="E26" s="48"/>
      <c r="F26" s="80"/>
      <c r="G26" s="80"/>
      <c r="H26" s="78"/>
      <c r="I26" s="78"/>
      <c r="J26" s="35"/>
      <c r="K26" s="41"/>
      <c r="L26" s="41"/>
      <c r="M26" s="41"/>
      <c r="N26" s="41"/>
      <c r="O26" s="185"/>
      <c r="Q26" s="182"/>
      <c r="R26" s="181">
        <v>44013</v>
      </c>
      <c r="S26" s="182">
        <v>2197</v>
      </c>
      <c r="T26" s="183"/>
      <c r="U26" s="183"/>
      <c r="V26" s="183"/>
      <c r="W26" s="184"/>
      <c r="X26" s="149">
        <v>7</v>
      </c>
      <c r="Y26" s="149">
        <v>31</v>
      </c>
      <c r="AA26" s="128"/>
      <c r="AB26" s="155">
        <f t="shared" ca="1" si="1"/>
        <v>45199</v>
      </c>
      <c r="AC26" s="261">
        <f>AC25+1</f>
        <v>23</v>
      </c>
      <c r="AD26" s="262"/>
      <c r="AE26" s="141">
        <f t="shared" si="2"/>
        <v>8744.9090417734042</v>
      </c>
      <c r="AF26" s="142"/>
      <c r="AG26" s="263">
        <f t="shared" si="5"/>
        <v>0</v>
      </c>
      <c r="AH26" s="264"/>
      <c r="AI26" s="256">
        <f t="shared" si="3"/>
        <v>8744.9090417734042</v>
      </c>
      <c r="AJ26" s="257"/>
      <c r="AK26" s="129">
        <f t="shared" si="0"/>
        <v>8744.9090417734042</v>
      </c>
      <c r="AL26" s="146">
        <f t="shared" si="4"/>
        <v>0</v>
      </c>
      <c r="AM26" s="137"/>
      <c r="AP26" s="144">
        <f t="shared" si="6"/>
        <v>-201132.90796078841</v>
      </c>
    </row>
    <row r="27" spans="1:42" ht="12" customHeight="1" x14ac:dyDescent="0.25">
      <c r="A27" s="9"/>
      <c r="B27" s="275"/>
      <c r="C27" s="275"/>
      <c r="D27" s="48"/>
      <c r="E27" s="48"/>
      <c r="F27" s="276"/>
      <c r="G27" s="276"/>
      <c r="H27" s="277"/>
      <c r="I27" s="277"/>
      <c r="J27" s="35"/>
      <c r="K27" s="41"/>
      <c r="L27" s="41"/>
      <c r="M27" s="41"/>
      <c r="N27" s="41"/>
      <c r="O27" s="185"/>
      <c r="Q27" s="182"/>
      <c r="R27" s="181">
        <v>44166</v>
      </c>
      <c r="S27" s="182">
        <v>2270</v>
      </c>
      <c r="T27" s="183"/>
      <c r="U27" s="183"/>
      <c r="V27" s="183"/>
      <c r="W27" s="184"/>
      <c r="X27" s="149">
        <v>8</v>
      </c>
      <c r="Y27" s="149">
        <v>31</v>
      </c>
      <c r="AA27" s="128"/>
      <c r="AB27" s="155">
        <f t="shared" ca="1" si="1"/>
        <v>45230</v>
      </c>
      <c r="AC27" s="261">
        <f>AC26+1</f>
        <v>24</v>
      </c>
      <c r="AD27" s="262"/>
      <c r="AE27" s="141">
        <f t="shared" si="2"/>
        <v>8744.9090417734042</v>
      </c>
      <c r="AF27" s="142"/>
      <c r="AG27" s="263">
        <f t="shared" si="5"/>
        <v>0</v>
      </c>
      <c r="AH27" s="264"/>
      <c r="AI27" s="256">
        <f t="shared" si="3"/>
        <v>8744.9090417734042</v>
      </c>
      <c r="AJ27" s="257"/>
      <c r="AK27" s="129">
        <f t="shared" si="0"/>
        <v>8744.9090417734042</v>
      </c>
      <c r="AL27" s="146">
        <f t="shared" si="4"/>
        <v>0</v>
      </c>
      <c r="AM27" s="137"/>
      <c r="AP27" s="144">
        <f t="shared" si="6"/>
        <v>-209877.81700256182</v>
      </c>
    </row>
    <row r="28" spans="1:42" ht="12" customHeight="1" x14ac:dyDescent="0.25">
      <c r="A28" s="9"/>
      <c r="B28" s="275"/>
      <c r="C28" s="275"/>
      <c r="D28" s="48"/>
      <c r="E28" s="48"/>
      <c r="F28" s="276"/>
      <c r="G28" s="276"/>
      <c r="H28" s="277"/>
      <c r="I28" s="277"/>
      <c r="J28" s="35"/>
      <c r="K28" s="41"/>
      <c r="L28" s="41"/>
      <c r="M28" s="41"/>
      <c r="N28" s="41"/>
      <c r="O28" s="185"/>
      <c r="R28" s="117"/>
      <c r="S28" s="117"/>
      <c r="T28" s="183"/>
      <c r="U28" s="183"/>
      <c r="V28" s="183"/>
      <c r="W28" s="184"/>
      <c r="X28" s="149">
        <v>9</v>
      </c>
      <c r="Y28" s="149">
        <v>30</v>
      </c>
      <c r="AA28" s="128"/>
      <c r="AB28" s="155">
        <f t="shared" ca="1" si="1"/>
        <v>45260</v>
      </c>
      <c r="AC28" s="261">
        <f t="shared" ref="AC28:AC78" si="7">AC27+1</f>
        <v>25</v>
      </c>
      <c r="AD28" s="262"/>
      <c r="AE28" s="141">
        <f t="shared" si="2"/>
        <v>8744.9090417734042</v>
      </c>
      <c r="AF28" s="142"/>
      <c r="AG28" s="263">
        <f t="shared" si="5"/>
        <v>0</v>
      </c>
      <c r="AH28" s="264"/>
      <c r="AI28" s="256">
        <f t="shared" si="3"/>
        <v>8744.9090417734042</v>
      </c>
      <c r="AJ28" s="257"/>
      <c r="AK28" s="129">
        <f t="shared" si="0"/>
        <v>0</v>
      </c>
      <c r="AL28" s="146">
        <f t="shared" si="4"/>
        <v>0</v>
      </c>
      <c r="AM28" s="137" t="str">
        <f>IF($E$12&gt;$R$3,$E$6*0.9*0.9*5.5%,"")</f>
        <v/>
      </c>
      <c r="AO28" s="118">
        <f>IF(AND(E2="Kredo Hyundai SE",E12&gt;24),$E$6*0.9*0.9*5.5%,0)</f>
        <v>0</v>
      </c>
      <c r="AP28" s="144">
        <f t="shared" si="6"/>
        <v>-218622.72604433523</v>
      </c>
    </row>
    <row r="29" spans="1:42" ht="23.25" customHeight="1" x14ac:dyDescent="0.25">
      <c r="A29" s="9"/>
      <c r="B29" s="275"/>
      <c r="C29" s="275"/>
      <c r="D29" s="48"/>
      <c r="E29" s="48"/>
      <c r="F29" s="276"/>
      <c r="G29" s="276"/>
      <c r="H29" s="277"/>
      <c r="I29" s="277"/>
      <c r="J29" s="35"/>
      <c r="K29" s="41"/>
      <c r="L29" s="41"/>
      <c r="M29" s="41"/>
      <c r="N29" s="41"/>
      <c r="O29" s="185"/>
      <c r="R29" s="117"/>
      <c r="S29" s="117"/>
      <c r="T29" s="183"/>
      <c r="U29" s="183"/>
      <c r="V29" s="183"/>
      <c r="W29" s="184"/>
      <c r="X29" s="149">
        <v>10</v>
      </c>
      <c r="Y29" s="149">
        <v>31</v>
      </c>
      <c r="AA29" s="128"/>
      <c r="AB29" s="155">
        <f t="shared" ca="1" si="1"/>
        <v>45291</v>
      </c>
      <c r="AC29" s="261">
        <f t="shared" si="7"/>
        <v>26</v>
      </c>
      <c r="AD29" s="262"/>
      <c r="AE29" s="141">
        <f t="shared" si="2"/>
        <v>8744.9090417734042</v>
      </c>
      <c r="AF29" s="142"/>
      <c r="AG29" s="263">
        <f t="shared" si="5"/>
        <v>0</v>
      </c>
      <c r="AH29" s="264"/>
      <c r="AI29" s="256">
        <f t="shared" si="3"/>
        <v>8744.9090417734042</v>
      </c>
      <c r="AJ29" s="257"/>
      <c r="AK29" s="129">
        <f t="shared" si="0"/>
        <v>8744.9090417734042</v>
      </c>
      <c r="AL29" s="146">
        <f t="shared" si="4"/>
        <v>0</v>
      </c>
      <c r="AM29" s="137"/>
      <c r="AP29" s="144">
        <f t="shared" si="6"/>
        <v>-227367.63508610864</v>
      </c>
    </row>
    <row r="30" spans="1:42" ht="12" customHeight="1" x14ac:dyDescent="0.25">
      <c r="A30" s="9"/>
      <c r="B30" s="275"/>
      <c r="C30" s="275"/>
      <c r="D30" s="48"/>
      <c r="E30" s="48"/>
      <c r="F30" s="276"/>
      <c r="G30" s="276"/>
      <c r="H30" s="277"/>
      <c r="I30" s="277"/>
      <c r="J30" s="35"/>
      <c r="K30" s="41"/>
      <c r="L30" s="41"/>
      <c r="M30" s="33"/>
      <c r="N30" s="41"/>
      <c r="O30" s="185"/>
      <c r="R30" s="117"/>
      <c r="S30" s="117"/>
      <c r="T30" s="183"/>
      <c r="U30" s="183"/>
      <c r="V30" s="183"/>
      <c r="W30" s="184"/>
      <c r="X30" s="149">
        <v>11</v>
      </c>
      <c r="Y30" s="149">
        <v>30</v>
      </c>
      <c r="AA30" s="128"/>
      <c r="AB30" s="155">
        <f t="shared" ca="1" si="1"/>
        <v>45322</v>
      </c>
      <c r="AC30" s="261">
        <f t="shared" si="7"/>
        <v>27</v>
      </c>
      <c r="AD30" s="262"/>
      <c r="AE30" s="141">
        <f t="shared" si="2"/>
        <v>8744.9090417734042</v>
      </c>
      <c r="AF30" s="142"/>
      <c r="AG30" s="263">
        <f t="shared" si="5"/>
        <v>0</v>
      </c>
      <c r="AH30" s="264"/>
      <c r="AI30" s="256">
        <f t="shared" si="3"/>
        <v>8744.9090417734042</v>
      </c>
      <c r="AJ30" s="257"/>
      <c r="AK30" s="129">
        <f t="shared" si="0"/>
        <v>8744.9090417734042</v>
      </c>
      <c r="AL30" s="146">
        <f t="shared" si="4"/>
        <v>0</v>
      </c>
      <c r="AM30" s="137"/>
      <c r="AP30" s="144">
        <f t="shared" si="6"/>
        <v>-236112.54412788205</v>
      </c>
    </row>
    <row r="31" spans="1:42" ht="12" customHeight="1" x14ac:dyDescent="0.25">
      <c r="A31" s="9"/>
      <c r="B31" s="275"/>
      <c r="C31" s="275"/>
      <c r="D31" s="48"/>
      <c r="E31" s="48"/>
      <c r="F31" s="276"/>
      <c r="G31" s="276"/>
      <c r="H31" s="277"/>
      <c r="I31" s="277"/>
      <c r="J31" s="35"/>
      <c r="K31" s="41"/>
      <c r="L31" s="41"/>
      <c r="M31" s="41"/>
      <c r="N31" s="41"/>
      <c r="O31" s="185"/>
      <c r="R31" s="117"/>
      <c r="S31" s="117"/>
      <c r="T31" s="183"/>
      <c r="U31" s="183"/>
      <c r="V31" s="183"/>
      <c r="W31" s="184"/>
      <c r="X31" s="149">
        <v>12</v>
      </c>
      <c r="Y31" s="149">
        <v>31</v>
      </c>
      <c r="AA31" s="128"/>
      <c r="AB31" s="155">
        <f t="shared" ca="1" si="1"/>
        <v>45351</v>
      </c>
      <c r="AC31" s="261">
        <f t="shared" si="7"/>
        <v>28</v>
      </c>
      <c r="AD31" s="262"/>
      <c r="AE31" s="141">
        <f t="shared" si="2"/>
        <v>8744.9090417734042</v>
      </c>
      <c r="AF31" s="142"/>
      <c r="AG31" s="263">
        <f t="shared" si="5"/>
        <v>0</v>
      </c>
      <c r="AH31" s="264"/>
      <c r="AI31" s="256">
        <f t="shared" si="3"/>
        <v>8744.9090417734042</v>
      </c>
      <c r="AJ31" s="257"/>
      <c r="AK31" s="129">
        <f t="shared" si="0"/>
        <v>8744.9090417734042</v>
      </c>
      <c r="AL31" s="146">
        <f t="shared" si="4"/>
        <v>0</v>
      </c>
      <c r="AM31" s="137"/>
      <c r="AP31" s="144">
        <f t="shared" si="6"/>
        <v>-244857.45316965546</v>
      </c>
    </row>
    <row r="32" spans="1:42" ht="21.75" customHeight="1" x14ac:dyDescent="0.25">
      <c r="A32" s="9"/>
      <c r="B32" s="275"/>
      <c r="C32" s="275"/>
      <c r="D32" s="48"/>
      <c r="E32" s="48"/>
      <c r="F32" s="276"/>
      <c r="G32" s="276"/>
      <c r="H32" s="277"/>
      <c r="I32" s="277"/>
      <c r="J32" s="35"/>
      <c r="K32" s="41"/>
      <c r="L32" s="41"/>
      <c r="M32" s="41"/>
      <c r="N32" s="41"/>
      <c r="O32" s="185"/>
      <c r="Q32" s="186" t="s">
        <v>17</v>
      </c>
      <c r="R32" s="187" t="s">
        <v>26</v>
      </c>
      <c r="S32" s="188" t="s">
        <v>46</v>
      </c>
      <c r="T32" s="188" t="s">
        <v>133</v>
      </c>
      <c r="U32" s="188"/>
      <c r="V32" s="183"/>
      <c r="W32" s="184"/>
      <c r="X32" s="117"/>
      <c r="AA32" s="128"/>
      <c r="AB32" s="155">
        <f t="shared" ca="1" si="1"/>
        <v>45382</v>
      </c>
      <c r="AC32" s="261">
        <f t="shared" si="7"/>
        <v>29</v>
      </c>
      <c r="AD32" s="262"/>
      <c r="AE32" s="141">
        <f t="shared" si="2"/>
        <v>8744.9090417734042</v>
      </c>
      <c r="AF32" s="142"/>
      <c r="AG32" s="263">
        <f t="shared" si="5"/>
        <v>0</v>
      </c>
      <c r="AH32" s="264"/>
      <c r="AI32" s="256">
        <f t="shared" si="3"/>
        <v>8744.9090417734042</v>
      </c>
      <c r="AJ32" s="257"/>
      <c r="AK32" s="129">
        <f t="shared" si="0"/>
        <v>8744.9090417734042</v>
      </c>
      <c r="AL32" s="146">
        <f t="shared" si="4"/>
        <v>0</v>
      </c>
      <c r="AM32" s="137"/>
      <c r="AP32" s="144">
        <f t="shared" si="6"/>
        <v>-253602.36221142887</v>
      </c>
    </row>
    <row r="33" spans="1:42" ht="12" customHeight="1" x14ac:dyDescent="0.25">
      <c r="A33" s="9"/>
      <c r="B33" s="275"/>
      <c r="C33" s="275"/>
      <c r="D33" s="48"/>
      <c r="E33" s="48"/>
      <c r="F33" s="276"/>
      <c r="G33" s="276"/>
      <c r="H33" s="277"/>
      <c r="I33" s="277"/>
      <c r="J33" s="35"/>
      <c r="K33" s="41"/>
      <c r="L33" s="41"/>
      <c r="M33" s="40"/>
      <c r="N33" s="41"/>
      <c r="O33" s="185"/>
      <c r="Q33" s="186" t="s">
        <v>16</v>
      </c>
      <c r="R33" s="187" t="str">
        <f>IF(E2=Аркуш1!A3,Аркуш1!B10,IF(E2=Аркуш1!A11,Аркуш1!B19,IF(E2=Аркуш1!A20,Аркуш1!B22,IF(E2=Аркуш1!A23,Аркуш1!B30,IF(E2=Аркуш1!A31,Аркуш1!B38,IF(E2=Аркуш1!A39,Аркуш1!B47,IF(E2=Аркуш1!A48,Аркуш1!B54,IF(E2=Аркуш1!A55,Аркуш1!B63,IF(E2=Аркуш1!A64,Аркуш1!B70,IF(E2=Аркуш1!A71,Аркуш1!B78,IF(E2=Аркуш1!A79,Аркуш1!B86,IF(E2=Аркуш1!A87,Аркуш1!B95,IF(E2=Аркуш1!A96,Аркуш1!B104,IF(E2=Аркуш1!A105,Аркуш1!B112,IF(E2=Аркуш1!A113,Аркуш1!B120,IF(E2=Аркуш1!A121,Аркуш1!B128,IF(E2=Аркуш1!A129,Аркуш1!B136,IF(E2=Аркуш1!A137,Аркуш1!B144,IF(E2=Аркуш1!A145,Аркуш1!B153,IF(E2=Аркуш1!A154,Аркуш1!B159,IF(E2=Аркуш1!A160,Аркуш1!B167,IF(E2=Аркуш1!A168,Аркуш1!B176,IF(E2=Аркуш1!A177,Аркуш1!B179,"")))))))))))))))))))))))&amp;IF(E2=Аркуш1!A180,Аркуш1!B188,IF(E2=Аркуш1!A189,Аркуш1!B197,IF(E2=Аркуш1!A198,Аркуш1!B203,IF(E2=Аркуш1!A204,Аркуш1!B210,""))))</f>
        <v>0</v>
      </c>
      <c r="S33" s="188" t="str">
        <f>IF(E2=Аркуш1!A3,Аркуш1!K10,IF(E2=Аркуш1!A11,Аркуш1!K19,IF(E2=Аркуш1!A20,Аркуш1!K22,IF(E2=Аркуш1!A23,Аркуш1!K30,IF(E2=Аркуш1!A31,Аркуш1!K38,IF(E2=Аркуш1!A39,Аркуш1!K47,IF(E2=Аркуш1!A48,Аркуш1!K54,IF(E2=Аркуш1!A55,Аркуш1!K63,IF(Авто_Калькулятор!E2=Аркуш1!A64,Аркуш1!K70,IF(E2=Аркуш1!A71,Аркуш1!K78,IF(E2=Аркуш1!A79,Аркуш1!K86,IF(E2=Аркуш1!A87,Аркуш1!K95,IF(E2=Аркуш1!A96,Аркуш1!K104,IF(E2=Аркуш1!A105,Аркуш1!K112,IF(E2=Аркуш1!A113,Аркуш1!K120,IF(E2=Аркуш1!A121,Аркуш1!K128,IF(E2=Аркуш1!A129,Аркуш1!K136,IF(E2=Аркуш1!A137,Аркуш1!K144,IF(E2=Аркуш1!A145,Аркуш1!K153,IF(E2=Аркуш1!A154,Аркуш1!K159,IF(E2=Аркуш1!A160,Аркуш1!K167,IF(E2=Аркуш1!A168,Аркуш1!K176,IF(Авто_Калькулятор!E2=Аркуш1!A177,Аркуш1!K179,"")))))))))))))))))))))))&amp;IF(Авто_Калькулятор!E2=Аркуш1!A180,Аркуш1!K188,IF(Авто_Калькулятор!E2=Аркуш1!A189,Аркуш1!K197,IF(Авто_Калькулятор!E2=Аркуш1!A198,Аркуш1!K203,IF(Авто_Калькулятор!E2=Аркуш1!A204,Аркуш1!K210,""))))</f>
        <v>0</v>
      </c>
      <c r="T33" s="189">
        <v>7.1199999999999999E-2</v>
      </c>
      <c r="U33" s="189">
        <f xml:space="preserve"> IF(E6/1.2&lt;=165*2270,E6/ 1.2*0.03, IF(E6/1.2&lt;=290*2270,E6/1.2*0.04,IF(E6/1.2&gt;290*2270,E6/1.2*0.05,0)))</f>
        <v>0</v>
      </c>
      <c r="V33" s="183"/>
      <c r="W33" s="184"/>
      <c r="AA33" s="128"/>
      <c r="AB33" s="155">
        <f t="shared" ca="1" si="1"/>
        <v>45412</v>
      </c>
      <c r="AC33" s="261">
        <f t="shared" si="7"/>
        <v>30</v>
      </c>
      <c r="AD33" s="262"/>
      <c r="AE33" s="141">
        <f t="shared" si="2"/>
        <v>8744.9090417734042</v>
      </c>
      <c r="AF33" s="142"/>
      <c r="AG33" s="263">
        <f t="shared" si="5"/>
        <v>0</v>
      </c>
      <c r="AH33" s="264"/>
      <c r="AI33" s="256">
        <f t="shared" si="3"/>
        <v>8744.9090417734042</v>
      </c>
      <c r="AJ33" s="257"/>
      <c r="AK33" s="129">
        <f t="shared" si="0"/>
        <v>8744.9090417734042</v>
      </c>
      <c r="AL33" s="146">
        <f t="shared" si="4"/>
        <v>0</v>
      </c>
      <c r="AM33" s="137"/>
      <c r="AP33" s="144">
        <f t="shared" si="6"/>
        <v>-262347.27125320229</v>
      </c>
    </row>
    <row r="34" spans="1:42" ht="12" customHeight="1" x14ac:dyDescent="0.25">
      <c r="A34" s="9"/>
      <c r="B34" s="275"/>
      <c r="C34" s="275"/>
      <c r="D34" s="48"/>
      <c r="E34" s="48"/>
      <c r="F34" s="276"/>
      <c r="G34" s="276"/>
      <c r="H34" s="277"/>
      <c r="I34" s="277"/>
      <c r="J34" s="35"/>
      <c r="K34" s="41"/>
      <c r="L34" s="41"/>
      <c r="M34" s="41"/>
      <c r="N34" s="41"/>
      <c r="O34" s="185"/>
      <c r="R34" s="190"/>
      <c r="S34" s="117"/>
      <c r="T34" s="183"/>
      <c r="U34" s="183"/>
      <c r="V34" s="183"/>
      <c r="W34" s="184"/>
      <c r="AA34" s="128"/>
      <c r="AB34" s="155">
        <f t="shared" ca="1" si="1"/>
        <v>45443</v>
      </c>
      <c r="AC34" s="261">
        <f t="shared" si="7"/>
        <v>31</v>
      </c>
      <c r="AD34" s="262"/>
      <c r="AE34" s="141">
        <f t="shared" si="2"/>
        <v>8744.9090417734042</v>
      </c>
      <c r="AF34" s="142"/>
      <c r="AG34" s="263">
        <f t="shared" si="5"/>
        <v>0</v>
      </c>
      <c r="AH34" s="264"/>
      <c r="AI34" s="256">
        <f t="shared" si="3"/>
        <v>8744.9090417734042</v>
      </c>
      <c r="AJ34" s="257"/>
      <c r="AK34" s="129">
        <f t="shared" si="0"/>
        <v>8744.9090417734042</v>
      </c>
      <c r="AL34" s="146">
        <f t="shared" si="4"/>
        <v>0</v>
      </c>
      <c r="AM34" s="137"/>
      <c r="AP34" s="144">
        <f t="shared" si="6"/>
        <v>-271092.1802949757</v>
      </c>
    </row>
    <row r="35" spans="1:42" ht="18.75" customHeight="1" x14ac:dyDescent="0.25">
      <c r="A35" s="9"/>
      <c r="B35" s="275"/>
      <c r="C35" s="275"/>
      <c r="D35" s="48"/>
      <c r="E35" s="48"/>
      <c r="F35" s="276"/>
      <c r="G35" s="276"/>
      <c r="H35" s="277"/>
      <c r="I35" s="277"/>
      <c r="J35" s="35"/>
      <c r="K35" s="43"/>
      <c r="L35" s="43"/>
      <c r="M35" s="41"/>
      <c r="N35" s="41"/>
      <c r="O35" s="185"/>
      <c r="Q35" s="118"/>
      <c r="R35" s="118"/>
      <c r="S35" s="118"/>
      <c r="T35" s="183"/>
      <c r="V35" s="183"/>
      <c r="W35" s="184"/>
      <c r="AA35" s="128"/>
      <c r="AB35" s="155">
        <f t="shared" ca="1" si="1"/>
        <v>45473</v>
      </c>
      <c r="AC35" s="261">
        <f t="shared" si="7"/>
        <v>32</v>
      </c>
      <c r="AD35" s="262"/>
      <c r="AE35" s="141">
        <f t="shared" si="2"/>
        <v>8744.9090417734042</v>
      </c>
      <c r="AF35" s="142"/>
      <c r="AG35" s="263">
        <f t="shared" si="5"/>
        <v>0</v>
      </c>
      <c r="AH35" s="264"/>
      <c r="AI35" s="256">
        <f t="shared" si="3"/>
        <v>8744.9090417734042</v>
      </c>
      <c r="AJ35" s="257"/>
      <c r="AK35" s="129">
        <f t="shared" si="0"/>
        <v>8744.9090417734042</v>
      </c>
      <c r="AL35" s="146">
        <f t="shared" si="4"/>
        <v>0</v>
      </c>
      <c r="AM35" s="137"/>
      <c r="AP35" s="144">
        <f t="shared" si="6"/>
        <v>-279837.08933674911</v>
      </c>
    </row>
    <row r="36" spans="1:42" ht="12" customHeight="1" x14ac:dyDescent="0.25">
      <c r="A36" s="9"/>
      <c r="B36" s="275"/>
      <c r="C36" s="275"/>
      <c r="D36" s="48"/>
      <c r="E36" s="48"/>
      <c r="F36" s="276"/>
      <c r="G36" s="276"/>
      <c r="H36" s="78"/>
      <c r="I36" s="78"/>
      <c r="J36" s="35"/>
      <c r="K36" s="43"/>
      <c r="L36" s="43"/>
      <c r="M36" s="41"/>
      <c r="N36" s="41"/>
      <c r="O36" s="185"/>
      <c r="Q36" s="118"/>
      <c r="R36" s="118"/>
      <c r="S36" s="118"/>
      <c r="T36" s="191"/>
      <c r="U36" s="191"/>
      <c r="V36" s="191"/>
      <c r="W36" s="192"/>
      <c r="X36" s="117"/>
      <c r="Y36" s="117"/>
      <c r="Z36" s="117"/>
      <c r="AA36" s="128"/>
      <c r="AB36" s="193">
        <f t="shared" ca="1" si="1"/>
        <v>45504</v>
      </c>
      <c r="AC36" s="261">
        <f t="shared" si="7"/>
        <v>33</v>
      </c>
      <c r="AD36" s="262"/>
      <c r="AE36" s="141">
        <f t="shared" si="2"/>
        <v>8744.9090417734042</v>
      </c>
      <c r="AF36" s="142"/>
      <c r="AG36" s="263">
        <f t="shared" si="5"/>
        <v>0</v>
      </c>
      <c r="AH36" s="264"/>
      <c r="AI36" s="256">
        <f t="shared" si="3"/>
        <v>8744.9090417734042</v>
      </c>
      <c r="AJ36" s="257"/>
      <c r="AK36" s="129">
        <f t="shared" ref="AK36:AK67" si="8">IFERROR(AI36+AM36+AN36,0)</f>
        <v>8744.9090417734042</v>
      </c>
      <c r="AL36" s="146">
        <f t="shared" si="4"/>
        <v>0</v>
      </c>
      <c r="AM36" s="137"/>
      <c r="AP36" s="144">
        <f t="shared" si="6"/>
        <v>-288581.99837852252</v>
      </c>
    </row>
    <row r="37" spans="1:42" ht="12" customHeight="1" x14ac:dyDescent="0.25">
      <c r="A37" s="9"/>
      <c r="B37" s="275"/>
      <c r="C37" s="275"/>
      <c r="D37" s="48"/>
      <c r="E37" s="48"/>
      <c r="F37" s="276"/>
      <c r="G37" s="276"/>
      <c r="H37" s="78"/>
      <c r="I37" s="78"/>
      <c r="J37" s="35"/>
      <c r="K37" s="43"/>
      <c r="L37" s="43"/>
      <c r="M37" s="41"/>
      <c r="N37" s="41"/>
      <c r="O37" s="185"/>
      <c r="Q37" s="118"/>
      <c r="R37" s="118"/>
      <c r="S37" s="118"/>
      <c r="T37" s="117"/>
      <c r="U37" s="117"/>
      <c r="V37" s="117"/>
      <c r="W37" s="117"/>
      <c r="X37" s="117"/>
      <c r="Y37" s="117"/>
      <c r="Z37" s="117"/>
      <c r="AA37" s="194"/>
      <c r="AB37" s="193">
        <f t="shared" ca="1" si="1"/>
        <v>45535</v>
      </c>
      <c r="AC37" s="261">
        <f t="shared" si="7"/>
        <v>34</v>
      </c>
      <c r="AD37" s="262"/>
      <c r="AE37" s="141">
        <f t="shared" si="2"/>
        <v>8744.9090417734042</v>
      </c>
      <c r="AF37" s="142"/>
      <c r="AG37" s="263">
        <f t="shared" si="5"/>
        <v>0</v>
      </c>
      <c r="AH37" s="264"/>
      <c r="AI37" s="256">
        <f t="shared" si="3"/>
        <v>8744.9090417734042</v>
      </c>
      <c r="AJ37" s="257"/>
      <c r="AK37" s="129">
        <f t="shared" si="8"/>
        <v>8744.9090417734042</v>
      </c>
      <c r="AL37" s="146">
        <f t="shared" si="4"/>
        <v>0</v>
      </c>
      <c r="AM37" s="137"/>
      <c r="AP37" s="144">
        <f t="shared" si="6"/>
        <v>-297326.90742029593</v>
      </c>
    </row>
    <row r="38" spans="1:42" ht="17.25" customHeight="1" x14ac:dyDescent="0.25">
      <c r="A38" s="9"/>
      <c r="B38" s="275"/>
      <c r="C38" s="275"/>
      <c r="D38" s="48"/>
      <c r="E38" s="48"/>
      <c r="F38" s="276"/>
      <c r="G38" s="276"/>
      <c r="H38" s="78"/>
      <c r="I38" s="78"/>
      <c r="J38" s="35"/>
      <c r="K38" s="43"/>
      <c r="L38" s="43"/>
      <c r="M38" s="41"/>
      <c r="N38" s="41"/>
      <c r="O38" s="185"/>
      <c r="Q38" s="118"/>
      <c r="R38" s="118"/>
      <c r="S38" s="118"/>
      <c r="T38" s="195"/>
      <c r="U38" s="196"/>
      <c r="V38" s="197"/>
      <c r="W38" s="197"/>
      <c r="X38" s="197"/>
      <c r="Y38" s="197"/>
      <c r="Z38" s="117"/>
      <c r="AA38" s="128"/>
      <c r="AB38" s="155">
        <f t="shared" ca="1" si="1"/>
        <v>45565</v>
      </c>
      <c r="AC38" s="261">
        <f t="shared" si="7"/>
        <v>35</v>
      </c>
      <c r="AD38" s="262"/>
      <c r="AE38" s="141">
        <f t="shared" si="2"/>
        <v>8744.9090417734042</v>
      </c>
      <c r="AF38" s="142"/>
      <c r="AG38" s="263">
        <f t="shared" si="5"/>
        <v>0</v>
      </c>
      <c r="AH38" s="264"/>
      <c r="AI38" s="256">
        <f t="shared" si="3"/>
        <v>8744.9090417734042</v>
      </c>
      <c r="AJ38" s="257"/>
      <c r="AK38" s="129">
        <f t="shared" si="8"/>
        <v>8744.9090417734042</v>
      </c>
      <c r="AL38" s="146">
        <f t="shared" si="4"/>
        <v>0</v>
      </c>
      <c r="AM38" s="137"/>
      <c r="AP38" s="144">
        <f t="shared" si="6"/>
        <v>-306071.81646206934</v>
      </c>
    </row>
    <row r="39" spans="1:42" ht="12" customHeight="1" thickBot="1" x14ac:dyDescent="0.3">
      <c r="A39" s="9"/>
      <c r="B39" s="275"/>
      <c r="C39" s="275"/>
      <c r="D39" s="48"/>
      <c r="E39" s="48"/>
      <c r="F39" s="276"/>
      <c r="G39" s="276"/>
      <c r="H39" s="78"/>
      <c r="I39" s="78"/>
      <c r="J39" s="35"/>
      <c r="K39" s="42"/>
      <c r="L39" s="43"/>
      <c r="M39" s="41"/>
      <c r="N39" s="41"/>
      <c r="O39" s="185"/>
      <c r="T39" s="195"/>
      <c r="U39" s="196"/>
      <c r="V39" s="196"/>
      <c r="W39" s="196"/>
      <c r="X39" s="196"/>
      <c r="Y39" s="196"/>
      <c r="Z39" s="117"/>
      <c r="AB39" s="155">
        <f t="shared" ca="1" si="1"/>
        <v>45596</v>
      </c>
      <c r="AC39" s="261">
        <f t="shared" si="7"/>
        <v>36</v>
      </c>
      <c r="AD39" s="262"/>
      <c r="AE39" s="141">
        <f t="shared" si="2"/>
        <v>8744.9090417734042</v>
      </c>
      <c r="AF39" s="142"/>
      <c r="AG39" s="263">
        <f t="shared" si="5"/>
        <v>0</v>
      </c>
      <c r="AH39" s="264"/>
      <c r="AI39" s="256">
        <f t="shared" si="3"/>
        <v>8744.9090417734042</v>
      </c>
      <c r="AJ39" s="257"/>
      <c r="AK39" s="129">
        <f t="shared" si="8"/>
        <v>8744.9090417734042</v>
      </c>
      <c r="AL39" s="146">
        <f t="shared" si="4"/>
        <v>0</v>
      </c>
      <c r="AM39" s="137"/>
      <c r="AP39" s="144">
        <f t="shared" si="6"/>
        <v>-314816.72550384275</v>
      </c>
    </row>
    <row r="40" spans="1:42" ht="12" customHeight="1" x14ac:dyDescent="0.25">
      <c r="A40" s="9"/>
      <c r="B40" s="275"/>
      <c r="C40" s="275"/>
      <c r="D40" s="48"/>
      <c r="E40" s="48"/>
      <c r="F40" s="276"/>
      <c r="G40" s="276"/>
      <c r="H40" s="78"/>
      <c r="I40" s="78"/>
      <c r="J40" s="35"/>
      <c r="K40" s="81" t="s">
        <v>21</v>
      </c>
      <c r="L40" s="43"/>
      <c r="M40" s="41"/>
      <c r="N40" s="41"/>
      <c r="O40" s="185"/>
      <c r="T40" s="198"/>
      <c r="U40" s="198"/>
      <c r="V40" s="198"/>
      <c r="W40" s="198"/>
      <c r="X40" s="198"/>
      <c r="Y40" s="198"/>
      <c r="Z40" s="117"/>
      <c r="AB40" s="155">
        <f t="shared" ca="1" si="1"/>
        <v>45626</v>
      </c>
      <c r="AC40" s="261">
        <f t="shared" si="7"/>
        <v>37</v>
      </c>
      <c r="AD40" s="262"/>
      <c r="AE40" s="141">
        <f t="shared" si="2"/>
        <v>8744.9090417734042</v>
      </c>
      <c r="AF40" s="142"/>
      <c r="AG40" s="263">
        <f t="shared" si="5"/>
        <v>0</v>
      </c>
      <c r="AH40" s="264"/>
      <c r="AI40" s="256">
        <f t="shared" si="3"/>
        <v>8744.9090417734042</v>
      </c>
      <c r="AJ40" s="257"/>
      <c r="AK40" s="129">
        <f t="shared" si="8"/>
        <v>0</v>
      </c>
      <c r="AL40" s="146">
        <f t="shared" si="4"/>
        <v>0</v>
      </c>
      <c r="AM40" s="137" t="str">
        <f>IF($E$12&gt;$R$4,$E$6*0.9*0.9*0.9*5.5%,"")</f>
        <v/>
      </c>
      <c r="AP40" s="144">
        <f t="shared" si="6"/>
        <v>-323561.63454561617</v>
      </c>
    </row>
    <row r="41" spans="1:42" ht="12" customHeight="1" thickBot="1" x14ac:dyDescent="0.3">
      <c r="A41" s="9"/>
      <c r="B41" s="275"/>
      <c r="C41" s="275"/>
      <c r="D41" s="48"/>
      <c r="E41" s="48"/>
      <c r="F41" s="276"/>
      <c r="G41" s="276"/>
      <c r="H41" s="78"/>
      <c r="I41" s="78"/>
      <c r="J41" s="35"/>
      <c r="K41" s="82"/>
      <c r="L41" s="43"/>
      <c r="M41" s="41"/>
      <c r="N41" s="41"/>
      <c r="O41" s="185"/>
      <c r="R41" s="117"/>
      <c r="S41" s="128"/>
      <c r="T41" s="128"/>
      <c r="U41" s="128"/>
      <c r="V41" s="128"/>
      <c r="W41" s="128"/>
      <c r="X41" s="128"/>
      <c r="Y41" s="128"/>
      <c r="Z41" s="117"/>
      <c r="AA41" s="128"/>
      <c r="AB41" s="155">
        <f t="shared" ca="1" si="1"/>
        <v>45657</v>
      </c>
      <c r="AC41" s="261">
        <f t="shared" si="7"/>
        <v>38</v>
      </c>
      <c r="AD41" s="262"/>
      <c r="AE41" s="141">
        <f t="shared" si="2"/>
        <v>8744.9090417734042</v>
      </c>
      <c r="AF41" s="142"/>
      <c r="AG41" s="263">
        <f t="shared" si="5"/>
        <v>0</v>
      </c>
      <c r="AH41" s="264"/>
      <c r="AI41" s="256">
        <f t="shared" si="3"/>
        <v>8744.9090417734042</v>
      </c>
      <c r="AJ41" s="257"/>
      <c r="AK41" s="129">
        <f t="shared" si="8"/>
        <v>8744.9090417734042</v>
      </c>
      <c r="AL41" s="146">
        <f t="shared" si="4"/>
        <v>0</v>
      </c>
      <c r="AM41" s="137"/>
      <c r="AP41" s="144">
        <f t="shared" si="6"/>
        <v>-332306.54358738958</v>
      </c>
    </row>
    <row r="42" spans="1:42" ht="12" customHeight="1" x14ac:dyDescent="0.25">
      <c r="A42" s="9"/>
      <c r="B42" s="275"/>
      <c r="C42" s="275"/>
      <c r="D42" s="48"/>
      <c r="E42" s="48"/>
      <c r="F42" s="276"/>
      <c r="G42" s="276"/>
      <c r="H42" s="78"/>
      <c r="I42" s="78"/>
      <c r="J42" s="35"/>
      <c r="K42" s="42"/>
      <c r="L42" s="43"/>
      <c r="M42" s="41"/>
      <c r="N42" s="41"/>
      <c r="O42" s="185"/>
      <c r="R42" s="117"/>
      <c r="S42" s="128"/>
      <c r="T42" s="128"/>
      <c r="U42" s="128">
        <v>36</v>
      </c>
      <c r="V42" s="128"/>
      <c r="W42" s="128">
        <v>60</v>
      </c>
      <c r="X42" s="128"/>
      <c r="Y42" s="128">
        <v>84</v>
      </c>
      <c r="Z42" s="117"/>
      <c r="AA42" s="128"/>
      <c r="AB42" s="155">
        <f t="shared" ca="1" si="1"/>
        <v>45688</v>
      </c>
      <c r="AC42" s="261">
        <f t="shared" si="7"/>
        <v>39</v>
      </c>
      <c r="AD42" s="262"/>
      <c r="AE42" s="141">
        <f t="shared" si="2"/>
        <v>8744.9090417734042</v>
      </c>
      <c r="AF42" s="142"/>
      <c r="AG42" s="263">
        <f t="shared" si="5"/>
        <v>0</v>
      </c>
      <c r="AH42" s="264"/>
      <c r="AI42" s="256">
        <f t="shared" si="3"/>
        <v>8744.9090417734042</v>
      </c>
      <c r="AJ42" s="257"/>
      <c r="AK42" s="129">
        <f t="shared" si="8"/>
        <v>8744.9090417734042</v>
      </c>
      <c r="AL42" s="146">
        <f t="shared" si="4"/>
        <v>0</v>
      </c>
      <c r="AM42" s="137"/>
      <c r="AP42" s="144">
        <f t="shared" si="6"/>
        <v>-341051.45262916299</v>
      </c>
    </row>
    <row r="43" spans="1:42" ht="12" customHeight="1" x14ac:dyDescent="0.25">
      <c r="A43" s="9"/>
      <c r="B43" s="275"/>
      <c r="C43" s="275"/>
      <c r="D43" s="48"/>
      <c r="E43" s="48"/>
      <c r="F43" s="276"/>
      <c r="G43" s="276"/>
      <c r="H43" s="78"/>
      <c r="I43" s="78"/>
      <c r="J43" s="35"/>
      <c r="K43" s="42"/>
      <c r="L43" s="43"/>
      <c r="M43" s="41"/>
      <c r="N43" s="41"/>
      <c r="O43" s="199"/>
      <c r="R43" s="117"/>
      <c r="S43" s="128"/>
      <c r="T43" s="128"/>
      <c r="U43" s="128"/>
      <c r="V43" s="128"/>
      <c r="W43" s="128"/>
      <c r="X43" s="128"/>
      <c r="Y43" s="128"/>
      <c r="Z43" s="117"/>
      <c r="AA43" s="128"/>
      <c r="AB43" s="155">
        <f ca="1">IF(AC43="","",DATE(YEAR(AB42),MONTH(AB42)+2,DAY(1)-1))</f>
        <v>45716</v>
      </c>
      <c r="AC43" s="261">
        <f>AC42+1</f>
        <v>40</v>
      </c>
      <c r="AD43" s="262"/>
      <c r="AE43" s="141">
        <f t="shared" si="2"/>
        <v>8744.9090417734042</v>
      </c>
      <c r="AF43" s="142"/>
      <c r="AG43" s="263">
        <f t="shared" si="5"/>
        <v>0</v>
      </c>
      <c r="AH43" s="264"/>
      <c r="AI43" s="256">
        <f t="shared" si="3"/>
        <v>8744.9090417734042</v>
      </c>
      <c r="AJ43" s="257"/>
      <c r="AK43" s="129">
        <f t="shared" si="8"/>
        <v>8744.9090417734042</v>
      </c>
      <c r="AL43" s="146">
        <f t="shared" si="4"/>
        <v>0</v>
      </c>
      <c r="AM43" s="137"/>
      <c r="AP43" s="144">
        <f t="shared" si="6"/>
        <v>-349796.3616709364</v>
      </c>
    </row>
    <row r="44" spans="1:42" ht="12" customHeight="1" x14ac:dyDescent="0.25">
      <c r="A44" s="9"/>
      <c r="B44" s="275"/>
      <c r="C44" s="275"/>
      <c r="D44" s="48"/>
      <c r="E44" s="48"/>
      <c r="F44" s="276"/>
      <c r="G44" s="276"/>
      <c r="H44" s="78"/>
      <c r="I44" s="78"/>
      <c r="J44" s="35"/>
      <c r="K44" s="42"/>
      <c r="L44" s="43"/>
      <c r="M44" s="41"/>
      <c r="N44" s="41"/>
      <c r="O44" s="199"/>
      <c r="R44" s="117"/>
      <c r="S44" s="128"/>
      <c r="T44" s="128"/>
      <c r="U44" s="128"/>
      <c r="V44" s="128"/>
      <c r="W44" s="128"/>
      <c r="X44" s="128"/>
      <c r="Y44" s="128"/>
      <c r="Z44" s="117"/>
      <c r="AA44" s="128"/>
      <c r="AB44" s="155">
        <f t="shared" ca="1" si="1"/>
        <v>45747</v>
      </c>
      <c r="AC44" s="261">
        <f t="shared" si="7"/>
        <v>41</v>
      </c>
      <c r="AD44" s="262"/>
      <c r="AE44" s="141">
        <f t="shared" si="2"/>
        <v>8744.9090417734042</v>
      </c>
      <c r="AF44" s="142"/>
      <c r="AG44" s="263">
        <f t="shared" si="5"/>
        <v>0</v>
      </c>
      <c r="AH44" s="264"/>
      <c r="AI44" s="256">
        <f t="shared" si="3"/>
        <v>8744.9090417734042</v>
      </c>
      <c r="AJ44" s="257"/>
      <c r="AK44" s="129">
        <f t="shared" si="8"/>
        <v>8744.9090417734042</v>
      </c>
      <c r="AL44" s="146">
        <f t="shared" si="4"/>
        <v>0</v>
      </c>
      <c r="AM44" s="137"/>
      <c r="AP44" s="144">
        <f t="shared" si="6"/>
        <v>-358541.27071270981</v>
      </c>
    </row>
    <row r="45" spans="1:42" ht="12" customHeight="1" x14ac:dyDescent="0.25">
      <c r="A45" s="9"/>
      <c r="B45" s="275"/>
      <c r="C45" s="275"/>
      <c r="D45" s="48"/>
      <c r="E45" s="48"/>
      <c r="F45" s="276"/>
      <c r="G45" s="276"/>
      <c r="H45" s="78"/>
      <c r="I45" s="78"/>
      <c r="J45" s="35"/>
      <c r="K45" s="42"/>
      <c r="L45" s="43"/>
      <c r="M45" s="41"/>
      <c r="N45" s="41"/>
      <c r="O45" s="199"/>
      <c r="R45" s="117"/>
      <c r="S45" s="128"/>
      <c r="T45" s="128"/>
      <c r="U45" s="128"/>
      <c r="V45" s="128"/>
      <c r="W45" s="128"/>
      <c r="X45" s="128"/>
      <c r="Y45" s="128"/>
      <c r="Z45" s="117"/>
      <c r="AA45" s="128"/>
      <c r="AB45" s="155">
        <f t="shared" ca="1" si="1"/>
        <v>45777</v>
      </c>
      <c r="AC45" s="261">
        <f t="shared" si="7"/>
        <v>42</v>
      </c>
      <c r="AD45" s="262"/>
      <c r="AE45" s="141">
        <f t="shared" si="2"/>
        <v>8744.9090417734042</v>
      </c>
      <c r="AF45" s="142"/>
      <c r="AG45" s="263">
        <f t="shared" si="5"/>
        <v>0</v>
      </c>
      <c r="AH45" s="264"/>
      <c r="AI45" s="256">
        <f t="shared" si="3"/>
        <v>8744.9090417734042</v>
      </c>
      <c r="AJ45" s="257"/>
      <c r="AK45" s="129">
        <f t="shared" si="8"/>
        <v>8744.9090417734042</v>
      </c>
      <c r="AL45" s="146">
        <f t="shared" si="4"/>
        <v>0</v>
      </c>
      <c r="AM45" s="137"/>
      <c r="AP45" s="144">
        <f t="shared" si="6"/>
        <v>-367286.17975448322</v>
      </c>
    </row>
    <row r="46" spans="1:42" ht="12" customHeight="1" x14ac:dyDescent="0.25">
      <c r="A46" s="9"/>
      <c r="B46" s="275"/>
      <c r="C46" s="275"/>
      <c r="D46" s="48"/>
      <c r="E46" s="48"/>
      <c r="F46" s="276"/>
      <c r="G46" s="276"/>
      <c r="H46" s="78"/>
      <c r="I46" s="78"/>
      <c r="J46" s="78"/>
      <c r="K46" s="42"/>
      <c r="L46" s="42"/>
      <c r="M46" s="33"/>
      <c r="N46" s="44"/>
      <c r="O46" s="199"/>
      <c r="P46" s="200"/>
      <c r="R46" s="117"/>
      <c r="S46" s="128"/>
      <c r="T46" s="128"/>
      <c r="U46" s="128"/>
      <c r="V46" s="128"/>
      <c r="W46" s="128"/>
      <c r="X46" s="128"/>
      <c r="Y46" s="128"/>
      <c r="Z46" s="117"/>
      <c r="AA46" s="128"/>
      <c r="AB46" s="155">
        <f t="shared" ca="1" si="1"/>
        <v>45808</v>
      </c>
      <c r="AC46" s="261">
        <f t="shared" si="7"/>
        <v>43</v>
      </c>
      <c r="AD46" s="262"/>
      <c r="AE46" s="141">
        <f t="shared" si="2"/>
        <v>8744.9090417734042</v>
      </c>
      <c r="AF46" s="142"/>
      <c r="AG46" s="263">
        <f t="shared" si="5"/>
        <v>0</v>
      </c>
      <c r="AH46" s="264"/>
      <c r="AI46" s="256">
        <f t="shared" si="3"/>
        <v>8744.9090417734042</v>
      </c>
      <c r="AJ46" s="257"/>
      <c r="AK46" s="129">
        <f t="shared" si="8"/>
        <v>8744.9090417734042</v>
      </c>
      <c r="AL46" s="146">
        <f t="shared" si="4"/>
        <v>0</v>
      </c>
      <c r="AM46" s="137"/>
      <c r="AP46" s="144">
        <f t="shared" si="6"/>
        <v>-376031.08879625663</v>
      </c>
    </row>
    <row r="47" spans="1:42" ht="14.25" customHeight="1" x14ac:dyDescent="0.25">
      <c r="A47" s="9"/>
      <c r="B47" s="275"/>
      <c r="C47" s="275"/>
      <c r="D47" s="48"/>
      <c r="E47" s="48"/>
      <c r="F47" s="276"/>
      <c r="G47" s="276"/>
      <c r="H47" s="78"/>
      <c r="I47" s="78"/>
      <c r="J47" s="78"/>
      <c r="K47" s="42"/>
      <c r="L47" s="42"/>
      <c r="M47" s="33"/>
      <c r="N47" s="44"/>
      <c r="O47" s="199"/>
      <c r="P47" s="200"/>
      <c r="R47" s="117"/>
      <c r="S47" s="128"/>
      <c r="T47" s="128"/>
      <c r="U47" s="128"/>
      <c r="V47" s="128"/>
      <c r="W47" s="128"/>
      <c r="X47" s="128"/>
      <c r="Y47" s="128"/>
      <c r="Z47" s="117"/>
      <c r="AA47" s="128"/>
      <c r="AB47" s="155">
        <f t="shared" ca="1" si="1"/>
        <v>45838</v>
      </c>
      <c r="AC47" s="261">
        <f t="shared" si="7"/>
        <v>44</v>
      </c>
      <c r="AD47" s="262"/>
      <c r="AE47" s="141">
        <f t="shared" si="2"/>
        <v>8744.9090417734042</v>
      </c>
      <c r="AF47" s="142"/>
      <c r="AG47" s="263">
        <f t="shared" si="5"/>
        <v>0</v>
      </c>
      <c r="AH47" s="264"/>
      <c r="AI47" s="256">
        <f t="shared" si="3"/>
        <v>8744.9090417734042</v>
      </c>
      <c r="AJ47" s="257"/>
      <c r="AK47" s="129">
        <f t="shared" si="8"/>
        <v>8744.9090417734042</v>
      </c>
      <c r="AL47" s="146">
        <f t="shared" si="4"/>
        <v>0</v>
      </c>
      <c r="AM47" s="137"/>
      <c r="AP47" s="144">
        <f t="shared" si="6"/>
        <v>-384775.99783803005</v>
      </c>
    </row>
    <row r="48" spans="1:42" ht="12" customHeight="1" x14ac:dyDescent="0.25">
      <c r="A48" s="9"/>
      <c r="B48" s="275"/>
      <c r="C48" s="275"/>
      <c r="D48" s="48"/>
      <c r="E48" s="48"/>
      <c r="F48" s="276"/>
      <c r="G48" s="276"/>
      <c r="H48" s="78"/>
      <c r="I48" s="78"/>
      <c r="J48" s="78"/>
      <c r="K48" s="42"/>
      <c r="L48" s="42"/>
      <c r="M48" s="33"/>
      <c r="N48" s="44"/>
      <c r="O48" s="199"/>
      <c r="P48" s="200"/>
      <c r="R48" s="117"/>
      <c r="S48" s="128"/>
      <c r="T48" s="128"/>
      <c r="U48" s="128"/>
      <c r="V48" s="128"/>
      <c r="W48" s="128"/>
      <c r="X48" s="128"/>
      <c r="Y48" s="128"/>
      <c r="Z48" s="117"/>
      <c r="AA48" s="128"/>
      <c r="AB48" s="193">
        <f t="shared" ca="1" si="1"/>
        <v>45869</v>
      </c>
      <c r="AC48" s="261">
        <f t="shared" si="7"/>
        <v>45</v>
      </c>
      <c r="AD48" s="262"/>
      <c r="AE48" s="141">
        <f t="shared" si="2"/>
        <v>8744.9090417734042</v>
      </c>
      <c r="AF48" s="142"/>
      <c r="AG48" s="263">
        <f t="shared" si="5"/>
        <v>0</v>
      </c>
      <c r="AH48" s="264"/>
      <c r="AI48" s="256">
        <f t="shared" si="3"/>
        <v>8744.9090417734042</v>
      </c>
      <c r="AJ48" s="257"/>
      <c r="AK48" s="129">
        <f t="shared" si="8"/>
        <v>8744.9090417734042</v>
      </c>
      <c r="AL48" s="146">
        <f t="shared" si="4"/>
        <v>0</v>
      </c>
      <c r="AM48" s="137"/>
      <c r="AP48" s="144">
        <f t="shared" si="6"/>
        <v>-393520.90687980346</v>
      </c>
    </row>
    <row r="49" spans="1:42" ht="12" customHeight="1" x14ac:dyDescent="0.25">
      <c r="A49" s="9"/>
      <c r="B49" s="275"/>
      <c r="C49" s="275"/>
      <c r="D49" s="48"/>
      <c r="E49" s="48"/>
      <c r="F49" s="276"/>
      <c r="G49" s="276"/>
      <c r="H49" s="78"/>
      <c r="I49" s="78"/>
      <c r="J49" s="35"/>
      <c r="K49" s="42"/>
      <c r="L49" s="42"/>
      <c r="M49" s="33"/>
      <c r="N49" s="44"/>
      <c r="O49" s="199"/>
      <c r="R49" s="117"/>
      <c r="S49" s="128"/>
      <c r="T49" s="128"/>
      <c r="U49" s="128"/>
      <c r="V49" s="128"/>
      <c r="W49" s="128"/>
      <c r="X49" s="128"/>
      <c r="Y49" s="128"/>
      <c r="Z49" s="117"/>
      <c r="AA49" s="128"/>
      <c r="AB49" s="193">
        <f t="shared" ca="1" si="1"/>
        <v>45900</v>
      </c>
      <c r="AC49" s="261">
        <f t="shared" si="7"/>
        <v>46</v>
      </c>
      <c r="AD49" s="262"/>
      <c r="AE49" s="141">
        <f t="shared" si="2"/>
        <v>8744.9090417734042</v>
      </c>
      <c r="AF49" s="142"/>
      <c r="AG49" s="263">
        <f t="shared" si="5"/>
        <v>0</v>
      </c>
      <c r="AH49" s="264"/>
      <c r="AI49" s="256">
        <f t="shared" si="3"/>
        <v>8744.9090417734042</v>
      </c>
      <c r="AJ49" s="257"/>
      <c r="AK49" s="129">
        <f t="shared" si="8"/>
        <v>8744.9090417734042</v>
      </c>
      <c r="AL49" s="146">
        <f t="shared" si="4"/>
        <v>0</v>
      </c>
      <c r="AM49" s="137"/>
      <c r="AP49" s="144">
        <f t="shared" si="6"/>
        <v>-402265.81592157687</v>
      </c>
    </row>
    <row r="50" spans="1:42" ht="12" customHeight="1" thickBot="1" x14ac:dyDescent="0.3">
      <c r="A50" s="9"/>
      <c r="B50" s="275"/>
      <c r="C50" s="275"/>
      <c r="D50" s="48"/>
      <c r="E50" s="48"/>
      <c r="F50" s="276"/>
      <c r="G50" s="276"/>
      <c r="H50" s="78"/>
      <c r="I50" s="78"/>
      <c r="J50" s="35"/>
      <c r="K50" s="42"/>
      <c r="L50" s="42"/>
      <c r="M50" s="33"/>
      <c r="N50" s="44"/>
      <c r="O50" s="199"/>
      <c r="Q50" s="201">
        <f>SUM(Q51:Q54)</f>
        <v>0</v>
      </c>
      <c r="R50" s="202"/>
      <c r="S50" s="202"/>
      <c r="T50" s="202"/>
      <c r="U50" s="202"/>
      <c r="V50" s="202"/>
      <c r="W50" s="202"/>
      <c r="X50" s="128"/>
      <c r="Y50" s="202"/>
      <c r="Z50" s="117"/>
      <c r="AA50" s="128"/>
      <c r="AB50" s="193">
        <f t="shared" ca="1" si="1"/>
        <v>45930</v>
      </c>
      <c r="AC50" s="261">
        <f t="shared" si="7"/>
        <v>47</v>
      </c>
      <c r="AD50" s="262"/>
      <c r="AE50" s="141">
        <f t="shared" si="2"/>
        <v>8744.9090417734042</v>
      </c>
      <c r="AF50" s="142"/>
      <c r="AG50" s="263">
        <f t="shared" si="5"/>
        <v>0</v>
      </c>
      <c r="AH50" s="264"/>
      <c r="AI50" s="256">
        <f t="shared" si="3"/>
        <v>8744.9090417734042</v>
      </c>
      <c r="AJ50" s="257"/>
      <c r="AK50" s="129">
        <f t="shared" si="8"/>
        <v>8744.9090417734042</v>
      </c>
      <c r="AL50" s="146">
        <f t="shared" si="4"/>
        <v>0</v>
      </c>
      <c r="AM50" s="137"/>
      <c r="AP50" s="144">
        <f t="shared" si="6"/>
        <v>-411010.72496335028</v>
      </c>
    </row>
    <row r="51" spans="1:42" ht="12" customHeight="1" x14ac:dyDescent="0.25">
      <c r="A51" s="9"/>
      <c r="B51" s="275"/>
      <c r="C51" s="275"/>
      <c r="D51" s="48"/>
      <c r="E51" s="48"/>
      <c r="F51" s="276"/>
      <c r="G51" s="276"/>
      <c r="H51" s="78"/>
      <c r="I51" s="78"/>
      <c r="J51" s="35"/>
      <c r="K51" s="84" t="s">
        <v>20</v>
      </c>
      <c r="L51" s="42"/>
      <c r="M51" s="41"/>
      <c r="N51" s="44"/>
      <c r="O51" s="199"/>
      <c r="Q51" s="121">
        <f>IF(AND($B$4=R51,$E$12=$S$42),S51,
IF(AND($B$4=R51,$E$12=$T$42),T51,
IF(AND($B$4=R51,$E$12=$U$42),U51,
IF(AND($B$4=R51,$E$12=$V$42),V51,
IF(AND($B$4=R51,$E$12=$W$42),W51,
IF(AND($B$4=R51,$E$12=$X$42),X51,
IF(AND($B$4=R51,$E$12=$Y$42),Y51,0)))))))</f>
        <v>0</v>
      </c>
      <c r="R51" s="203" t="s">
        <v>227</v>
      </c>
      <c r="S51" s="202"/>
      <c r="T51" s="202"/>
      <c r="U51" s="202">
        <v>12</v>
      </c>
      <c r="V51" s="202"/>
      <c r="W51" s="202">
        <v>24</v>
      </c>
      <c r="X51" s="128"/>
      <c r="Y51" s="202">
        <v>36</v>
      </c>
      <c r="Z51" s="117"/>
      <c r="AA51" s="117"/>
      <c r="AB51" s="193">
        <f t="shared" ca="1" si="1"/>
        <v>45961</v>
      </c>
      <c r="AC51" s="261">
        <f t="shared" si="7"/>
        <v>48</v>
      </c>
      <c r="AD51" s="262"/>
      <c r="AE51" s="141">
        <f t="shared" si="2"/>
        <v>8744.9090417734042</v>
      </c>
      <c r="AF51" s="142"/>
      <c r="AG51" s="263">
        <f t="shared" si="5"/>
        <v>0</v>
      </c>
      <c r="AH51" s="264"/>
      <c r="AI51" s="256">
        <f t="shared" si="3"/>
        <v>8744.9090417734042</v>
      </c>
      <c r="AJ51" s="257"/>
      <c r="AK51" s="129">
        <f t="shared" si="8"/>
        <v>8744.9090417734042</v>
      </c>
      <c r="AL51" s="146">
        <f t="shared" si="4"/>
        <v>0</v>
      </c>
      <c r="AM51" s="137"/>
      <c r="AP51" s="144">
        <f t="shared" si="6"/>
        <v>-419755.63400512369</v>
      </c>
    </row>
    <row r="52" spans="1:42" ht="12" customHeight="1" x14ac:dyDescent="0.25">
      <c r="A52" s="9"/>
      <c r="B52" s="275"/>
      <c r="C52" s="275"/>
      <c r="D52" s="48"/>
      <c r="E52" s="48"/>
      <c r="F52" s="276"/>
      <c r="G52" s="276"/>
      <c r="H52" s="78"/>
      <c r="I52" s="78"/>
      <c r="J52" s="35"/>
      <c r="K52" s="85"/>
      <c r="L52" s="42"/>
      <c r="M52" s="41"/>
      <c r="N52" s="44"/>
      <c r="O52" s="199"/>
      <c r="Q52" s="121">
        <f t="shared" ref="Q52:Q54" si="9">IF(AND($B$4=R52,$E$12=$S$42),S52,
IF(AND($B$4=R52,$E$12=$T$42),T52,
IF(AND($B$4=R52,$E$12=$U$42),U52,
IF(AND($B$4=R52,$E$12=$V$42),V52,
IF(AND($B$4=R52,$E$12=$W$42),W52,
IF(AND($B$4=R52,$E$12=$X$42),X52,
IF(AND($B$4=R52,$E$12=$Y$42),Y52,0)))))))</f>
        <v>0</v>
      </c>
      <c r="R52" s="203" t="s">
        <v>228</v>
      </c>
      <c r="S52" s="202"/>
      <c r="T52" s="202"/>
      <c r="U52" s="202">
        <v>12</v>
      </c>
      <c r="V52" s="202"/>
      <c r="W52" s="202">
        <v>24</v>
      </c>
      <c r="X52" s="128"/>
      <c r="Y52" s="202">
        <v>36</v>
      </c>
      <c r="Z52" s="117"/>
      <c r="AA52" s="117"/>
      <c r="AB52" s="193">
        <f t="shared" ca="1" si="1"/>
        <v>45991</v>
      </c>
      <c r="AC52" s="261">
        <f t="shared" si="7"/>
        <v>49</v>
      </c>
      <c r="AD52" s="262"/>
      <c r="AE52" s="141">
        <f t="shared" si="2"/>
        <v>8744.9090417734042</v>
      </c>
      <c r="AF52" s="142"/>
      <c r="AG52" s="263">
        <f t="shared" si="5"/>
        <v>0</v>
      </c>
      <c r="AH52" s="264"/>
      <c r="AI52" s="256">
        <f t="shared" si="3"/>
        <v>8744.9090417734042</v>
      </c>
      <c r="AJ52" s="257"/>
      <c r="AK52" s="129">
        <f t="shared" si="8"/>
        <v>0</v>
      </c>
      <c r="AL52" s="146">
        <f t="shared" si="4"/>
        <v>0</v>
      </c>
      <c r="AM52" s="137" t="str">
        <f>IF($E$12&gt;$R$5,$E$6*0.9*0.9*0.9*0.9*5.5%,"")</f>
        <v/>
      </c>
      <c r="AP52" s="144">
        <f t="shared" si="6"/>
        <v>-428500.5430468971</v>
      </c>
    </row>
    <row r="53" spans="1:42" ht="12" customHeight="1" thickBot="1" x14ac:dyDescent="0.3">
      <c r="A53" s="9"/>
      <c r="B53" s="275"/>
      <c r="C53" s="275"/>
      <c r="D53" s="48"/>
      <c r="E53" s="48"/>
      <c r="F53" s="276"/>
      <c r="G53" s="276"/>
      <c r="H53" s="78"/>
      <c r="I53" s="78"/>
      <c r="J53" s="35"/>
      <c r="K53" s="86"/>
      <c r="L53" s="42"/>
      <c r="M53" s="33"/>
      <c r="N53" s="44"/>
      <c r="O53" s="199"/>
      <c r="Q53" s="121">
        <f t="shared" si="9"/>
        <v>0</v>
      </c>
      <c r="R53" s="203" t="s">
        <v>229</v>
      </c>
      <c r="S53" s="202"/>
      <c r="T53" s="202"/>
      <c r="U53" s="202">
        <v>12</v>
      </c>
      <c r="V53" s="202"/>
      <c r="W53" s="202">
        <v>24</v>
      </c>
      <c r="X53" s="128"/>
      <c r="Y53" s="202">
        <v>36</v>
      </c>
      <c r="Z53" s="117"/>
      <c r="AA53" s="117"/>
      <c r="AB53" s="193">
        <f t="shared" ca="1" si="1"/>
        <v>46022</v>
      </c>
      <c r="AC53" s="261">
        <f t="shared" si="7"/>
        <v>50</v>
      </c>
      <c r="AD53" s="262"/>
      <c r="AE53" s="141">
        <f t="shared" si="2"/>
        <v>8744.9090417734042</v>
      </c>
      <c r="AF53" s="142"/>
      <c r="AG53" s="263">
        <f t="shared" si="5"/>
        <v>0</v>
      </c>
      <c r="AH53" s="264"/>
      <c r="AI53" s="256">
        <f t="shared" si="3"/>
        <v>8744.9090417734042</v>
      </c>
      <c r="AJ53" s="257"/>
      <c r="AK53" s="129">
        <f t="shared" si="8"/>
        <v>8744.9090417734042</v>
      </c>
      <c r="AL53" s="146">
        <f t="shared" si="4"/>
        <v>0</v>
      </c>
      <c r="AM53" s="137"/>
      <c r="AP53" s="144">
        <f t="shared" si="6"/>
        <v>-437245.45208867051</v>
      </c>
    </row>
    <row r="54" spans="1:42" ht="19.899999999999999" customHeight="1" x14ac:dyDescent="0.25">
      <c r="A54" s="9"/>
      <c r="B54" s="275"/>
      <c r="C54" s="275"/>
      <c r="D54" s="48"/>
      <c r="E54" s="48"/>
      <c r="F54" s="276"/>
      <c r="G54" s="276"/>
      <c r="H54" s="78"/>
      <c r="I54" s="78"/>
      <c r="J54" s="78"/>
      <c r="K54" s="78"/>
      <c r="L54" s="42"/>
      <c r="M54" s="78"/>
      <c r="N54" s="78"/>
      <c r="O54" s="200"/>
      <c r="P54" s="200"/>
      <c r="Q54" s="121">
        <f t="shared" si="9"/>
        <v>0</v>
      </c>
      <c r="R54" s="203" t="s">
        <v>230</v>
      </c>
      <c r="S54" s="202"/>
      <c r="T54" s="202"/>
      <c r="U54" s="202">
        <v>24</v>
      </c>
      <c r="V54" s="202"/>
      <c r="W54" s="202">
        <v>24</v>
      </c>
      <c r="X54" s="128"/>
      <c r="Y54" s="202">
        <v>36</v>
      </c>
      <c r="Z54" s="117"/>
      <c r="AA54" s="117"/>
      <c r="AB54" s="193">
        <f t="shared" ca="1" si="1"/>
        <v>46053</v>
      </c>
      <c r="AC54" s="261">
        <f t="shared" si="7"/>
        <v>51</v>
      </c>
      <c r="AD54" s="262"/>
      <c r="AE54" s="141">
        <f t="shared" si="2"/>
        <v>8744.9090417734042</v>
      </c>
      <c r="AF54" s="142"/>
      <c r="AG54" s="263">
        <f t="shared" si="5"/>
        <v>0</v>
      </c>
      <c r="AH54" s="264"/>
      <c r="AI54" s="256">
        <f t="shared" si="3"/>
        <v>8744.9090417734042</v>
      </c>
      <c r="AJ54" s="257"/>
      <c r="AK54" s="129">
        <f t="shared" si="8"/>
        <v>8744.9090417734042</v>
      </c>
      <c r="AL54" s="146">
        <f t="shared" si="4"/>
        <v>0</v>
      </c>
      <c r="AM54" s="137"/>
      <c r="AP54" s="144">
        <f t="shared" si="6"/>
        <v>-445990.36113044393</v>
      </c>
    </row>
    <row r="55" spans="1:42" ht="12" customHeight="1" x14ac:dyDescent="0.25">
      <c r="A55" s="9"/>
      <c r="B55" s="275"/>
      <c r="C55" s="275"/>
      <c r="D55" s="48"/>
      <c r="E55" s="48"/>
      <c r="F55" s="276"/>
      <c r="G55" s="276"/>
      <c r="H55" s="78"/>
      <c r="I55" s="78"/>
      <c r="J55" s="35"/>
      <c r="K55" s="35"/>
      <c r="L55" s="35"/>
      <c r="M55" s="35"/>
      <c r="N55" s="33"/>
      <c r="O55" s="159"/>
      <c r="Q55" s="118"/>
      <c r="R55" s="118"/>
      <c r="S55" s="118"/>
      <c r="T55" s="118"/>
      <c r="U55" s="118"/>
      <c r="V55" s="202"/>
      <c r="W55" s="118"/>
      <c r="X55" s="128"/>
      <c r="Y55" s="118"/>
      <c r="Z55" s="117"/>
      <c r="AA55" s="117"/>
      <c r="AB55" s="193">
        <f t="shared" ca="1" si="1"/>
        <v>46081</v>
      </c>
      <c r="AC55" s="261">
        <f t="shared" si="7"/>
        <v>52</v>
      </c>
      <c r="AD55" s="262"/>
      <c r="AE55" s="141">
        <f t="shared" si="2"/>
        <v>8744.9090417734042</v>
      </c>
      <c r="AF55" s="142"/>
      <c r="AG55" s="263">
        <f t="shared" si="5"/>
        <v>0</v>
      </c>
      <c r="AH55" s="264"/>
      <c r="AI55" s="256">
        <f t="shared" si="3"/>
        <v>8744.9090417734042</v>
      </c>
      <c r="AJ55" s="257"/>
      <c r="AK55" s="129">
        <f t="shared" si="8"/>
        <v>8744.9090417734042</v>
      </c>
      <c r="AL55" s="146">
        <f t="shared" si="4"/>
        <v>0</v>
      </c>
      <c r="AM55" s="137"/>
      <c r="AP55" s="144">
        <f t="shared" si="6"/>
        <v>-454735.27017221734</v>
      </c>
    </row>
    <row r="56" spans="1:42" ht="12" customHeight="1" x14ac:dyDescent="0.25">
      <c r="A56" s="9"/>
      <c r="B56" s="275"/>
      <c r="C56" s="275"/>
      <c r="D56" s="48"/>
      <c r="E56" s="48"/>
      <c r="F56" s="276"/>
      <c r="G56" s="276"/>
      <c r="H56" s="78"/>
      <c r="I56" s="78"/>
      <c r="J56" s="35"/>
      <c r="K56" s="35"/>
      <c r="L56" s="35"/>
      <c r="M56" s="35"/>
      <c r="N56" s="33"/>
      <c r="O56" s="159"/>
      <c r="Q56" s="118"/>
      <c r="R56" s="118"/>
      <c r="S56" s="118"/>
      <c r="T56" s="118"/>
      <c r="U56" s="118"/>
      <c r="V56" s="202"/>
      <c r="W56" s="118"/>
      <c r="X56" s="128"/>
      <c r="Y56" s="118"/>
      <c r="Z56" s="117"/>
      <c r="AA56" s="117"/>
      <c r="AB56" s="193">
        <f t="shared" ca="1" si="1"/>
        <v>46112</v>
      </c>
      <c r="AC56" s="261">
        <f t="shared" si="7"/>
        <v>53</v>
      </c>
      <c r="AD56" s="262"/>
      <c r="AE56" s="141">
        <f t="shared" si="2"/>
        <v>8744.9090417734042</v>
      </c>
      <c r="AF56" s="142"/>
      <c r="AG56" s="263">
        <f t="shared" si="5"/>
        <v>0</v>
      </c>
      <c r="AH56" s="264"/>
      <c r="AI56" s="256">
        <f t="shared" si="3"/>
        <v>8744.9090417734042</v>
      </c>
      <c r="AJ56" s="257"/>
      <c r="AK56" s="129">
        <f t="shared" si="8"/>
        <v>8744.9090417734042</v>
      </c>
      <c r="AL56" s="146">
        <f t="shared" si="4"/>
        <v>0</v>
      </c>
      <c r="AM56" s="137"/>
      <c r="AP56" s="144">
        <f t="shared" si="6"/>
        <v>-463480.17921399075</v>
      </c>
    </row>
    <row r="57" spans="1:42" ht="12" customHeight="1" x14ac:dyDescent="0.25">
      <c r="A57" s="9"/>
      <c r="B57" s="275"/>
      <c r="C57" s="275"/>
      <c r="D57" s="48"/>
      <c r="E57" s="48"/>
      <c r="F57" s="276"/>
      <c r="G57" s="276"/>
      <c r="H57" s="78"/>
      <c r="I57" s="78"/>
      <c r="J57" s="35"/>
      <c r="K57" s="35"/>
      <c r="L57" s="35"/>
      <c r="M57" s="35"/>
      <c r="N57" s="33"/>
      <c r="O57" s="159"/>
      <c r="Q57" s="118"/>
      <c r="R57" s="118"/>
      <c r="S57" s="118"/>
      <c r="T57" s="118"/>
      <c r="U57" s="118"/>
      <c r="V57" s="202"/>
      <c r="W57" s="118"/>
      <c r="X57" s="118"/>
      <c r="Y57" s="118"/>
      <c r="Z57" s="117"/>
      <c r="AA57" s="117"/>
      <c r="AB57" s="193">
        <f t="shared" ca="1" si="1"/>
        <v>46142</v>
      </c>
      <c r="AC57" s="261">
        <f t="shared" si="7"/>
        <v>54</v>
      </c>
      <c r="AD57" s="262"/>
      <c r="AE57" s="141">
        <f t="shared" si="2"/>
        <v>8744.9090417734042</v>
      </c>
      <c r="AF57" s="142"/>
      <c r="AG57" s="263">
        <f t="shared" si="5"/>
        <v>0</v>
      </c>
      <c r="AH57" s="264"/>
      <c r="AI57" s="256">
        <f t="shared" si="3"/>
        <v>8744.9090417734042</v>
      </c>
      <c r="AJ57" s="257"/>
      <c r="AK57" s="129">
        <f t="shared" si="8"/>
        <v>8744.9090417734042</v>
      </c>
      <c r="AL57" s="146">
        <f t="shared" si="4"/>
        <v>0</v>
      </c>
      <c r="AM57" s="137"/>
      <c r="AP57" s="144">
        <f t="shared" si="6"/>
        <v>-472225.08825576416</v>
      </c>
    </row>
    <row r="58" spans="1:42" ht="12" customHeight="1" x14ac:dyDescent="0.25">
      <c r="A58" s="9"/>
      <c r="B58" s="275"/>
      <c r="C58" s="275"/>
      <c r="D58" s="48"/>
      <c r="E58" s="48"/>
      <c r="F58" s="276"/>
      <c r="G58" s="276"/>
      <c r="H58" s="78"/>
      <c r="I58" s="78"/>
      <c r="J58" s="35"/>
      <c r="K58" s="35"/>
      <c r="L58" s="35"/>
      <c r="M58" s="35"/>
      <c r="N58" s="33"/>
      <c r="O58" s="159"/>
      <c r="R58" s="117"/>
      <c r="S58" s="128"/>
      <c r="T58" s="117"/>
      <c r="U58" s="117"/>
      <c r="V58" s="117"/>
      <c r="W58" s="117"/>
      <c r="X58" s="117"/>
      <c r="Y58" s="117"/>
      <c r="Z58" s="117"/>
      <c r="AA58" s="117"/>
      <c r="AB58" s="193">
        <f t="shared" ca="1" si="1"/>
        <v>46173</v>
      </c>
      <c r="AC58" s="261">
        <f t="shared" si="7"/>
        <v>55</v>
      </c>
      <c r="AD58" s="262"/>
      <c r="AE58" s="141">
        <f t="shared" si="2"/>
        <v>8744.9090417734042</v>
      </c>
      <c r="AF58" s="142"/>
      <c r="AG58" s="263">
        <f t="shared" si="5"/>
        <v>0</v>
      </c>
      <c r="AH58" s="264"/>
      <c r="AI58" s="256">
        <f t="shared" si="3"/>
        <v>8744.9090417734042</v>
      </c>
      <c r="AJ58" s="257"/>
      <c r="AK58" s="129">
        <f t="shared" si="8"/>
        <v>8744.9090417734042</v>
      </c>
      <c r="AL58" s="146">
        <f t="shared" si="4"/>
        <v>0</v>
      </c>
      <c r="AM58" s="137"/>
      <c r="AP58" s="144">
        <f t="shared" si="6"/>
        <v>-480969.99729753757</v>
      </c>
    </row>
    <row r="59" spans="1:42" ht="12" customHeight="1" x14ac:dyDescent="0.25">
      <c r="A59" s="9"/>
      <c r="B59" s="275"/>
      <c r="C59" s="275"/>
      <c r="D59" s="48"/>
      <c r="E59" s="48"/>
      <c r="F59" s="276"/>
      <c r="G59" s="276"/>
      <c r="H59" s="78"/>
      <c r="I59" s="78"/>
      <c r="J59" s="35"/>
      <c r="K59" s="35"/>
      <c r="L59" s="35"/>
      <c r="M59" s="35"/>
      <c r="N59" s="33"/>
      <c r="O59" s="159"/>
      <c r="R59" s="117"/>
      <c r="S59" s="128"/>
      <c r="T59" s="117"/>
      <c r="U59" s="117"/>
      <c r="V59" s="117"/>
      <c r="W59" s="117"/>
      <c r="X59" s="117"/>
      <c r="Y59" s="117"/>
      <c r="Z59" s="117"/>
      <c r="AA59" s="117"/>
      <c r="AB59" s="193">
        <f t="shared" ca="1" si="1"/>
        <v>46203</v>
      </c>
      <c r="AC59" s="261">
        <f t="shared" si="7"/>
        <v>56</v>
      </c>
      <c r="AD59" s="262"/>
      <c r="AE59" s="141">
        <f t="shared" si="2"/>
        <v>8744.9090417734042</v>
      </c>
      <c r="AF59" s="142"/>
      <c r="AG59" s="263">
        <f t="shared" si="5"/>
        <v>0</v>
      </c>
      <c r="AH59" s="264"/>
      <c r="AI59" s="256">
        <f t="shared" si="3"/>
        <v>8744.9090417734042</v>
      </c>
      <c r="AJ59" s="257"/>
      <c r="AK59" s="129">
        <f t="shared" si="8"/>
        <v>8744.9090417734042</v>
      </c>
      <c r="AL59" s="146">
        <f t="shared" si="4"/>
        <v>0</v>
      </c>
      <c r="AM59" s="137"/>
      <c r="AP59" s="144">
        <f t="shared" si="6"/>
        <v>-489714.90633931098</v>
      </c>
    </row>
    <row r="60" spans="1:42" ht="12" customHeight="1" x14ac:dyDescent="0.25">
      <c r="A60" s="9"/>
      <c r="B60" s="275"/>
      <c r="C60" s="275"/>
      <c r="D60" s="48"/>
      <c r="E60" s="48"/>
      <c r="F60" s="276"/>
      <c r="G60" s="276"/>
      <c r="H60" s="78"/>
      <c r="I60" s="78"/>
      <c r="J60" s="35"/>
      <c r="K60" s="35"/>
      <c r="L60" s="35"/>
      <c r="M60" s="35"/>
      <c r="N60" s="33"/>
      <c r="O60" s="159"/>
      <c r="R60" s="117"/>
      <c r="S60" s="128"/>
      <c r="T60" s="128"/>
      <c r="U60" s="128"/>
      <c r="V60" s="128"/>
      <c r="W60" s="128"/>
      <c r="X60" s="128"/>
      <c r="Y60" s="128"/>
      <c r="Z60" s="117"/>
      <c r="AA60" s="117"/>
      <c r="AB60" s="193">
        <f t="shared" ca="1" si="1"/>
        <v>46234</v>
      </c>
      <c r="AC60" s="261">
        <f t="shared" si="7"/>
        <v>57</v>
      </c>
      <c r="AD60" s="262"/>
      <c r="AE60" s="141">
        <f t="shared" si="2"/>
        <v>8744.9090417734042</v>
      </c>
      <c r="AF60" s="142"/>
      <c r="AG60" s="263">
        <f t="shared" si="5"/>
        <v>0</v>
      </c>
      <c r="AH60" s="264"/>
      <c r="AI60" s="256">
        <f t="shared" si="3"/>
        <v>8744.9090417734042</v>
      </c>
      <c r="AJ60" s="257"/>
      <c r="AK60" s="129">
        <f t="shared" si="8"/>
        <v>8744.9090417734042</v>
      </c>
      <c r="AL60" s="146">
        <f t="shared" si="4"/>
        <v>0</v>
      </c>
      <c r="AM60" s="137"/>
      <c r="AP60" s="144">
        <f t="shared" si="6"/>
        <v>-498459.81538108439</v>
      </c>
    </row>
    <row r="61" spans="1:42" ht="12" customHeight="1" x14ac:dyDescent="0.25">
      <c r="A61" s="9"/>
      <c r="B61" s="275"/>
      <c r="C61" s="275"/>
      <c r="D61" s="48"/>
      <c r="E61" s="48"/>
      <c r="F61" s="276"/>
      <c r="G61" s="276"/>
      <c r="H61" s="78"/>
      <c r="I61" s="78"/>
      <c r="J61" s="35"/>
      <c r="K61" s="35"/>
      <c r="L61" s="35"/>
      <c r="M61" s="35"/>
      <c r="N61" s="33"/>
      <c r="O61" s="159"/>
      <c r="R61" s="117"/>
      <c r="S61" s="128"/>
      <c r="T61" s="117"/>
      <c r="U61" s="204"/>
      <c r="V61" s="205"/>
      <c r="W61" s="205"/>
      <c r="X61" s="205"/>
      <c r="Y61" s="205"/>
      <c r="Z61" s="117"/>
      <c r="AA61" s="117"/>
      <c r="AB61" s="193">
        <f t="shared" ca="1" si="1"/>
        <v>46265</v>
      </c>
      <c r="AC61" s="261">
        <f t="shared" si="7"/>
        <v>58</v>
      </c>
      <c r="AD61" s="262"/>
      <c r="AE61" s="141">
        <f t="shared" si="2"/>
        <v>8744.9090417734042</v>
      </c>
      <c r="AF61" s="142"/>
      <c r="AG61" s="263">
        <f t="shared" si="5"/>
        <v>0</v>
      </c>
      <c r="AH61" s="264"/>
      <c r="AI61" s="256">
        <f t="shared" si="3"/>
        <v>8744.9090417734042</v>
      </c>
      <c r="AJ61" s="257"/>
      <c r="AK61" s="129">
        <f t="shared" si="8"/>
        <v>8744.9090417734042</v>
      </c>
      <c r="AL61" s="146">
        <f t="shared" si="4"/>
        <v>0</v>
      </c>
      <c r="AM61" s="137"/>
      <c r="AP61" s="144">
        <f t="shared" si="6"/>
        <v>-507204.72442285781</v>
      </c>
    </row>
    <row r="62" spans="1:42" ht="12" customHeight="1" x14ac:dyDescent="0.25">
      <c r="A62" s="9"/>
      <c r="B62" s="275"/>
      <c r="C62" s="275"/>
      <c r="D62" s="48"/>
      <c r="E62" s="48"/>
      <c r="F62" s="276"/>
      <c r="G62" s="276"/>
      <c r="H62" s="78"/>
      <c r="I62" s="78"/>
      <c r="J62" s="35"/>
      <c r="K62" s="35"/>
      <c r="L62" s="35"/>
      <c r="M62" s="35"/>
      <c r="N62" s="33"/>
      <c r="O62" s="159"/>
      <c r="R62" s="117"/>
      <c r="S62" s="128"/>
      <c r="T62" s="117"/>
      <c r="U62" s="117"/>
      <c r="V62" s="117"/>
      <c r="W62" s="205"/>
      <c r="X62" s="205"/>
      <c r="Y62" s="117"/>
      <c r="Z62" s="117"/>
      <c r="AA62" s="117"/>
      <c r="AB62" s="193">
        <f t="shared" ca="1" si="1"/>
        <v>46295</v>
      </c>
      <c r="AC62" s="261">
        <f t="shared" si="7"/>
        <v>59</v>
      </c>
      <c r="AD62" s="262"/>
      <c r="AE62" s="141">
        <f t="shared" si="2"/>
        <v>8744.9090417734042</v>
      </c>
      <c r="AF62" s="142"/>
      <c r="AG62" s="263">
        <f t="shared" si="5"/>
        <v>0</v>
      </c>
      <c r="AH62" s="264"/>
      <c r="AI62" s="256">
        <f t="shared" si="3"/>
        <v>8744.9090417734042</v>
      </c>
      <c r="AJ62" s="257"/>
      <c r="AK62" s="129">
        <f t="shared" si="8"/>
        <v>8744.9090417734042</v>
      </c>
      <c r="AL62" s="146">
        <f t="shared" si="4"/>
        <v>0</v>
      </c>
      <c r="AM62" s="137"/>
      <c r="AP62" s="144">
        <f t="shared" si="6"/>
        <v>-515949.63346463122</v>
      </c>
    </row>
    <row r="63" spans="1:42" ht="12" customHeight="1" x14ac:dyDescent="0.25">
      <c r="A63" s="9"/>
      <c r="B63" s="275"/>
      <c r="C63" s="275"/>
      <c r="D63" s="48"/>
      <c r="E63" s="48"/>
      <c r="F63" s="276"/>
      <c r="G63" s="276"/>
      <c r="H63" s="78"/>
      <c r="I63" s="78"/>
      <c r="J63" s="35"/>
      <c r="K63" s="35"/>
      <c r="L63" s="35"/>
      <c r="M63" s="35"/>
      <c r="N63" s="33"/>
      <c r="O63" s="159"/>
      <c r="R63" s="117"/>
      <c r="S63" s="128"/>
      <c r="T63" s="117"/>
      <c r="U63" s="117"/>
      <c r="V63" s="117"/>
      <c r="W63" s="117"/>
      <c r="X63" s="117"/>
      <c r="Y63" s="117"/>
      <c r="Z63" s="117"/>
      <c r="AA63" s="117"/>
      <c r="AB63" s="193">
        <f t="shared" ca="1" si="1"/>
        <v>46326</v>
      </c>
      <c r="AC63" s="261">
        <f t="shared" si="7"/>
        <v>60</v>
      </c>
      <c r="AD63" s="262"/>
      <c r="AE63" s="141">
        <f t="shared" si="2"/>
        <v>8744.9090417734042</v>
      </c>
      <c r="AF63" s="142"/>
      <c r="AG63" s="263">
        <f t="shared" si="5"/>
        <v>0</v>
      </c>
      <c r="AH63" s="264"/>
      <c r="AI63" s="256">
        <f t="shared" si="3"/>
        <v>8744.9090417734042</v>
      </c>
      <c r="AJ63" s="257"/>
      <c r="AK63" s="129">
        <f t="shared" si="8"/>
        <v>8744.9090417734042</v>
      </c>
      <c r="AL63" s="146">
        <f t="shared" si="4"/>
        <v>0</v>
      </c>
      <c r="AM63" s="137"/>
      <c r="AP63" s="144">
        <f t="shared" si="6"/>
        <v>-524694.54250640457</v>
      </c>
    </row>
    <row r="64" spans="1:42" ht="12" customHeight="1" x14ac:dyDescent="0.25">
      <c r="A64" s="9"/>
      <c r="B64" s="275"/>
      <c r="C64" s="275"/>
      <c r="D64" s="48"/>
      <c r="E64" s="48"/>
      <c r="F64" s="276"/>
      <c r="G64" s="276"/>
      <c r="H64" s="78"/>
      <c r="I64" s="78"/>
      <c r="J64" s="35"/>
      <c r="K64" s="35"/>
      <c r="L64" s="35"/>
      <c r="M64" s="35"/>
      <c r="N64" s="33"/>
      <c r="O64" s="159"/>
      <c r="R64" s="117"/>
      <c r="S64" s="128"/>
      <c r="T64" s="117"/>
      <c r="U64" s="117"/>
      <c r="V64" s="117"/>
      <c r="W64" s="117"/>
      <c r="X64" s="117"/>
      <c r="Y64" s="117"/>
      <c r="Z64" s="117"/>
      <c r="AA64" s="117"/>
      <c r="AB64" s="193">
        <f t="shared" ca="1" si="1"/>
        <v>46356</v>
      </c>
      <c r="AC64" s="261">
        <f t="shared" si="7"/>
        <v>61</v>
      </c>
      <c r="AD64" s="262"/>
      <c r="AE64" s="141">
        <f t="shared" si="2"/>
        <v>8744.9090417734042</v>
      </c>
      <c r="AF64" s="142"/>
      <c r="AG64" s="263">
        <f t="shared" si="5"/>
        <v>0</v>
      </c>
      <c r="AH64" s="264"/>
      <c r="AI64" s="256">
        <f t="shared" si="3"/>
        <v>8744.9090417734042</v>
      </c>
      <c r="AJ64" s="257"/>
      <c r="AK64" s="129">
        <f t="shared" si="8"/>
        <v>0</v>
      </c>
      <c r="AL64" s="146">
        <f t="shared" si="4"/>
        <v>0</v>
      </c>
      <c r="AM64" s="137" t="str">
        <f>IF($E$12&gt;$R$6,$E$6*0.9*0.9*0.9*0.9*0.9*5.5%,"")</f>
        <v/>
      </c>
      <c r="AP64" s="144">
        <f t="shared" si="6"/>
        <v>-533439.45154817798</v>
      </c>
    </row>
    <row r="65" spans="1:42" ht="12" customHeight="1" x14ac:dyDescent="0.25">
      <c r="A65" s="9"/>
      <c r="B65" s="275"/>
      <c r="C65" s="275"/>
      <c r="D65" s="48"/>
      <c r="E65" s="48"/>
      <c r="F65" s="276"/>
      <c r="G65" s="276"/>
      <c r="H65" s="78"/>
      <c r="I65" s="78"/>
      <c r="J65" s="35"/>
      <c r="K65" s="35"/>
      <c r="L65" s="35"/>
      <c r="M65" s="35"/>
      <c r="N65" s="33"/>
      <c r="O65" s="159"/>
      <c r="R65" s="117"/>
      <c r="S65" s="128"/>
      <c r="T65" s="117"/>
      <c r="U65" s="117"/>
      <c r="V65" s="117"/>
      <c r="W65" s="117"/>
      <c r="X65" s="117"/>
      <c r="Y65" s="117"/>
      <c r="Z65" s="117"/>
      <c r="AA65" s="117"/>
      <c r="AB65" s="193">
        <f t="shared" ca="1" si="1"/>
        <v>46387</v>
      </c>
      <c r="AC65" s="261">
        <f t="shared" si="7"/>
        <v>62</v>
      </c>
      <c r="AD65" s="262"/>
      <c r="AE65" s="141">
        <f t="shared" si="2"/>
        <v>8744.9090417734042</v>
      </c>
      <c r="AF65" s="142"/>
      <c r="AG65" s="263">
        <f t="shared" si="5"/>
        <v>0</v>
      </c>
      <c r="AH65" s="264"/>
      <c r="AI65" s="256">
        <f t="shared" si="3"/>
        <v>8744.9090417734042</v>
      </c>
      <c r="AJ65" s="257"/>
      <c r="AK65" s="129">
        <f t="shared" si="8"/>
        <v>8744.9090417734042</v>
      </c>
      <c r="AL65" s="146">
        <f t="shared" si="4"/>
        <v>0</v>
      </c>
      <c r="AM65" s="137"/>
      <c r="AP65" s="144">
        <f t="shared" si="6"/>
        <v>-542184.36058995139</v>
      </c>
    </row>
    <row r="66" spans="1:42" ht="12" customHeight="1" x14ac:dyDescent="0.25">
      <c r="A66" s="9"/>
      <c r="B66" s="275"/>
      <c r="C66" s="275"/>
      <c r="D66" s="48"/>
      <c r="E66" s="48"/>
      <c r="F66" s="276"/>
      <c r="G66" s="276"/>
      <c r="H66" s="277"/>
      <c r="I66" s="277"/>
      <c r="J66" s="35"/>
      <c r="K66" s="35"/>
      <c r="L66" s="35"/>
      <c r="M66" s="35"/>
      <c r="N66" s="33"/>
      <c r="O66" s="159"/>
      <c r="R66" s="117"/>
      <c r="S66" s="128"/>
      <c r="T66" s="117"/>
      <c r="U66" s="117"/>
      <c r="V66" s="117"/>
      <c r="W66" s="117"/>
      <c r="X66" s="117"/>
      <c r="Y66" s="117"/>
      <c r="Z66" s="117"/>
      <c r="AA66" s="117"/>
      <c r="AB66" s="193">
        <f t="shared" ca="1" si="1"/>
        <v>46418</v>
      </c>
      <c r="AC66" s="261">
        <f t="shared" si="7"/>
        <v>63</v>
      </c>
      <c r="AD66" s="262"/>
      <c r="AE66" s="141">
        <f t="shared" si="2"/>
        <v>8744.9090417734042</v>
      </c>
      <c r="AF66" s="142"/>
      <c r="AG66" s="263">
        <f t="shared" si="5"/>
        <v>0</v>
      </c>
      <c r="AH66" s="264"/>
      <c r="AI66" s="256">
        <f t="shared" si="3"/>
        <v>8744.9090417734042</v>
      </c>
      <c r="AJ66" s="257"/>
      <c r="AK66" s="129">
        <f t="shared" si="8"/>
        <v>8744.9090417734042</v>
      </c>
      <c r="AL66" s="146">
        <f t="shared" si="4"/>
        <v>0</v>
      </c>
      <c r="AM66" s="137"/>
      <c r="AP66" s="144">
        <f t="shared" si="6"/>
        <v>-550929.2696317248</v>
      </c>
    </row>
    <row r="67" spans="1:42" ht="12" customHeight="1" x14ac:dyDescent="0.25">
      <c r="A67" s="9"/>
      <c r="B67" s="275"/>
      <c r="C67" s="275"/>
      <c r="D67" s="48"/>
      <c r="E67" s="48"/>
      <c r="F67" s="276"/>
      <c r="G67" s="276"/>
      <c r="H67" s="277"/>
      <c r="I67" s="277"/>
      <c r="J67" s="35"/>
      <c r="K67" s="35"/>
      <c r="L67" s="35"/>
      <c r="M67" s="35"/>
      <c r="N67" s="33"/>
      <c r="O67" s="159"/>
      <c r="R67" s="117"/>
      <c r="S67" s="128"/>
      <c r="T67" s="117"/>
      <c r="U67" s="117"/>
      <c r="V67" s="117"/>
      <c r="W67" s="117"/>
      <c r="X67" s="117"/>
      <c r="Y67" s="117"/>
      <c r="Z67" s="117"/>
      <c r="AA67" s="117"/>
      <c r="AB67" s="193">
        <f t="shared" ca="1" si="1"/>
        <v>46446</v>
      </c>
      <c r="AC67" s="261">
        <f t="shared" si="7"/>
        <v>64</v>
      </c>
      <c r="AD67" s="262"/>
      <c r="AE67" s="141">
        <f t="shared" si="2"/>
        <v>8744.9090417734042</v>
      </c>
      <c r="AF67" s="142"/>
      <c r="AG67" s="263">
        <f t="shared" si="5"/>
        <v>0</v>
      </c>
      <c r="AH67" s="264"/>
      <c r="AI67" s="256">
        <f t="shared" si="3"/>
        <v>8744.9090417734042</v>
      </c>
      <c r="AJ67" s="257"/>
      <c r="AK67" s="129">
        <f t="shared" si="8"/>
        <v>8744.9090417734042</v>
      </c>
      <c r="AL67" s="146">
        <f t="shared" si="4"/>
        <v>0</v>
      </c>
      <c r="AM67" s="137"/>
      <c r="AP67" s="144">
        <f t="shared" si="6"/>
        <v>-559674.17867349822</v>
      </c>
    </row>
    <row r="68" spans="1:42" ht="12" customHeight="1" x14ac:dyDescent="0.25">
      <c r="A68" s="9"/>
      <c r="B68" s="275"/>
      <c r="C68" s="275"/>
      <c r="D68" s="48"/>
      <c r="E68" s="48"/>
      <c r="F68" s="276"/>
      <c r="G68" s="276"/>
      <c r="H68" s="277"/>
      <c r="I68" s="277"/>
      <c r="J68" s="35"/>
      <c r="K68" s="35"/>
      <c r="L68" s="35"/>
      <c r="M68" s="35"/>
      <c r="N68" s="33"/>
      <c r="O68" s="159"/>
      <c r="R68" s="117"/>
      <c r="S68" s="128"/>
      <c r="T68" s="117"/>
      <c r="U68" s="117"/>
      <c r="V68" s="117"/>
      <c r="W68" s="117"/>
      <c r="X68" s="117"/>
      <c r="Y68" s="117"/>
      <c r="Z68" s="117"/>
      <c r="AA68" s="117"/>
      <c r="AB68" s="193">
        <f t="shared" ca="1" si="1"/>
        <v>46477</v>
      </c>
      <c r="AC68" s="261">
        <f t="shared" si="7"/>
        <v>65</v>
      </c>
      <c r="AD68" s="262"/>
      <c r="AE68" s="141">
        <f t="shared" si="2"/>
        <v>8744.9090417734042</v>
      </c>
      <c r="AF68" s="142"/>
      <c r="AG68" s="263">
        <f t="shared" si="5"/>
        <v>0</v>
      </c>
      <c r="AH68" s="264"/>
      <c r="AI68" s="256">
        <f t="shared" si="3"/>
        <v>8744.9090417734042</v>
      </c>
      <c r="AJ68" s="257"/>
      <c r="AK68" s="129">
        <f t="shared" ref="AK68:AK90" si="10">IFERROR(AI68+AM68+AN68,0)</f>
        <v>8744.9090417734042</v>
      </c>
      <c r="AL68" s="146">
        <f t="shared" si="4"/>
        <v>0</v>
      </c>
      <c r="AM68" s="137"/>
      <c r="AP68" s="144">
        <f t="shared" si="6"/>
        <v>-568419.08771527163</v>
      </c>
    </row>
    <row r="69" spans="1:42" ht="12" customHeight="1" x14ac:dyDescent="0.25">
      <c r="A69" s="9"/>
      <c r="B69" s="275"/>
      <c r="C69" s="275"/>
      <c r="D69" s="48"/>
      <c r="E69" s="48"/>
      <c r="F69" s="276"/>
      <c r="G69" s="276"/>
      <c r="H69" s="277"/>
      <c r="I69" s="277"/>
      <c r="J69" s="35"/>
      <c r="K69" s="35"/>
      <c r="L69" s="35"/>
      <c r="M69" s="35"/>
      <c r="N69" s="33"/>
      <c r="O69" s="159"/>
      <c r="R69" s="117"/>
      <c r="S69" s="128"/>
      <c r="T69" s="117"/>
      <c r="U69" s="117"/>
      <c r="V69" s="117"/>
      <c r="W69" s="117"/>
      <c r="X69" s="117"/>
      <c r="Y69" s="117"/>
      <c r="Z69" s="117"/>
      <c r="AA69" s="117"/>
      <c r="AB69" s="193">
        <f t="shared" ref="AB69:AB90" ca="1" si="11">IF(AC69="","",DATE(YEAR(AB68),MONTH(AB68)+2,DAY(1)-1))</f>
        <v>46507</v>
      </c>
      <c r="AC69" s="261">
        <f t="shared" si="7"/>
        <v>66</v>
      </c>
      <c r="AD69" s="262"/>
      <c r="AE69" s="141">
        <f t="shared" ref="AE69:AE87" si="12">AI69-AG69</f>
        <v>8744.9090417734042</v>
      </c>
      <c r="AF69" s="142"/>
      <c r="AG69" s="263">
        <f t="shared" si="5"/>
        <v>0</v>
      </c>
      <c r="AH69" s="264"/>
      <c r="AI69" s="256">
        <f t="shared" ref="AI69:AI87" si="13">$V$7</f>
        <v>8744.9090417734042</v>
      </c>
      <c r="AJ69" s="257"/>
      <c r="AK69" s="129">
        <f t="shared" si="10"/>
        <v>8744.9090417734042</v>
      </c>
      <c r="AL69" s="146">
        <f t="shared" ref="AL69:AL87" si="14">VLOOKUP(AC69,$T$7:$U$8,2)</f>
        <v>0</v>
      </c>
      <c r="AM69" s="137"/>
      <c r="AP69" s="144">
        <f t="shared" si="6"/>
        <v>-577163.99675704504</v>
      </c>
    </row>
    <row r="70" spans="1:42" ht="12" customHeight="1" x14ac:dyDescent="0.25">
      <c r="A70" s="9"/>
      <c r="B70" s="275"/>
      <c r="C70" s="275"/>
      <c r="D70" s="48"/>
      <c r="E70" s="48"/>
      <c r="F70" s="276"/>
      <c r="G70" s="276"/>
      <c r="H70" s="277"/>
      <c r="I70" s="277"/>
      <c r="J70" s="35"/>
      <c r="K70" s="35"/>
      <c r="L70" s="35"/>
      <c r="M70" s="35"/>
      <c r="N70" s="33"/>
      <c r="O70" s="159"/>
      <c r="R70" s="117"/>
      <c r="S70" s="128"/>
      <c r="T70" s="117"/>
      <c r="U70" s="117"/>
      <c r="V70" s="117"/>
      <c r="W70" s="117"/>
      <c r="X70" s="117"/>
      <c r="Y70" s="117"/>
      <c r="Z70" s="117"/>
      <c r="AA70" s="117"/>
      <c r="AB70" s="193">
        <f t="shared" ca="1" si="11"/>
        <v>46538</v>
      </c>
      <c r="AC70" s="261">
        <f t="shared" si="7"/>
        <v>67</v>
      </c>
      <c r="AD70" s="262"/>
      <c r="AE70" s="141">
        <f t="shared" si="12"/>
        <v>8744.9090417734042</v>
      </c>
      <c r="AF70" s="142"/>
      <c r="AG70" s="263">
        <f t="shared" ref="AG70:AG89" si="15">AP69*AL70/12</f>
        <v>0</v>
      </c>
      <c r="AH70" s="264"/>
      <c r="AI70" s="256">
        <f t="shared" si="13"/>
        <v>8744.9090417734042</v>
      </c>
      <c r="AJ70" s="257"/>
      <c r="AK70" s="129">
        <f t="shared" si="10"/>
        <v>8744.9090417734042</v>
      </c>
      <c r="AL70" s="146">
        <f t="shared" si="14"/>
        <v>0</v>
      </c>
      <c r="AM70" s="137"/>
      <c r="AP70" s="144">
        <f t="shared" ref="AP70:AP87" si="16">AP69-AE70</f>
        <v>-585908.90579881845</v>
      </c>
    </row>
    <row r="71" spans="1:42" ht="12" customHeight="1" x14ac:dyDescent="0.25">
      <c r="A71" s="9"/>
      <c r="B71" s="275"/>
      <c r="C71" s="275"/>
      <c r="D71" s="48"/>
      <c r="E71" s="48"/>
      <c r="F71" s="276"/>
      <c r="G71" s="276"/>
      <c r="H71" s="277"/>
      <c r="I71" s="277"/>
      <c r="J71" s="35"/>
      <c r="K71" s="35"/>
      <c r="L71" s="35"/>
      <c r="M71" s="35"/>
      <c r="N71" s="33"/>
      <c r="O71" s="159"/>
      <c r="R71" s="117"/>
      <c r="S71" s="128"/>
      <c r="T71" s="117"/>
      <c r="U71" s="117"/>
      <c r="V71" s="117"/>
      <c r="W71" s="117"/>
      <c r="X71" s="117"/>
      <c r="Y71" s="117"/>
      <c r="Z71" s="117"/>
      <c r="AA71" s="117"/>
      <c r="AB71" s="193">
        <f t="shared" ca="1" si="11"/>
        <v>46568</v>
      </c>
      <c r="AC71" s="261">
        <f t="shared" si="7"/>
        <v>68</v>
      </c>
      <c r="AD71" s="262"/>
      <c r="AE71" s="141">
        <f t="shared" si="12"/>
        <v>8744.9090417734042</v>
      </c>
      <c r="AF71" s="142"/>
      <c r="AG71" s="263">
        <f t="shared" si="15"/>
        <v>0</v>
      </c>
      <c r="AH71" s="264"/>
      <c r="AI71" s="256">
        <f t="shared" si="13"/>
        <v>8744.9090417734042</v>
      </c>
      <c r="AJ71" s="257"/>
      <c r="AK71" s="129">
        <f t="shared" si="10"/>
        <v>8744.9090417734042</v>
      </c>
      <c r="AL71" s="146">
        <f t="shared" si="14"/>
        <v>0</v>
      </c>
      <c r="AM71" s="137"/>
      <c r="AP71" s="144">
        <f t="shared" si="16"/>
        <v>-594653.81484059186</v>
      </c>
    </row>
    <row r="72" spans="1:42" ht="12" customHeight="1" x14ac:dyDescent="0.25">
      <c r="A72" s="9"/>
      <c r="B72" s="275"/>
      <c r="C72" s="275"/>
      <c r="D72" s="48"/>
      <c r="E72" s="48"/>
      <c r="F72" s="276"/>
      <c r="G72" s="276"/>
      <c r="H72" s="277"/>
      <c r="I72" s="277"/>
      <c r="J72" s="35"/>
      <c r="K72" s="35"/>
      <c r="L72" s="35"/>
      <c r="M72" s="35"/>
      <c r="N72" s="33"/>
      <c r="O72" s="159"/>
      <c r="R72" s="117"/>
      <c r="S72" s="128"/>
      <c r="T72" s="117"/>
      <c r="U72" s="117"/>
      <c r="V72" s="117"/>
      <c r="W72" s="117"/>
      <c r="X72" s="117"/>
      <c r="Y72" s="117"/>
      <c r="Z72" s="117"/>
      <c r="AA72" s="117"/>
      <c r="AB72" s="193">
        <f t="shared" ca="1" si="11"/>
        <v>46599</v>
      </c>
      <c r="AC72" s="261">
        <f t="shared" si="7"/>
        <v>69</v>
      </c>
      <c r="AD72" s="262"/>
      <c r="AE72" s="141">
        <f t="shared" si="12"/>
        <v>8744.9090417734042</v>
      </c>
      <c r="AF72" s="142"/>
      <c r="AG72" s="263">
        <f t="shared" si="15"/>
        <v>0</v>
      </c>
      <c r="AH72" s="264"/>
      <c r="AI72" s="256">
        <f t="shared" si="13"/>
        <v>8744.9090417734042</v>
      </c>
      <c r="AJ72" s="257"/>
      <c r="AK72" s="129">
        <f t="shared" si="10"/>
        <v>8744.9090417734042</v>
      </c>
      <c r="AL72" s="146">
        <f t="shared" si="14"/>
        <v>0</v>
      </c>
      <c r="AM72" s="137"/>
      <c r="AP72" s="144">
        <f t="shared" si="16"/>
        <v>-603398.72388236527</v>
      </c>
    </row>
    <row r="73" spans="1:42" ht="12" customHeight="1" x14ac:dyDescent="0.25">
      <c r="A73" s="9"/>
      <c r="B73" s="275"/>
      <c r="C73" s="275"/>
      <c r="D73" s="48"/>
      <c r="E73" s="48"/>
      <c r="F73" s="276"/>
      <c r="G73" s="276"/>
      <c r="H73" s="277"/>
      <c r="I73" s="277"/>
      <c r="J73" s="35"/>
      <c r="K73" s="35"/>
      <c r="L73" s="35"/>
      <c r="M73" s="35"/>
      <c r="N73" s="33"/>
      <c r="O73" s="159"/>
      <c r="R73" s="117"/>
      <c r="S73" s="128"/>
      <c r="T73" s="117"/>
      <c r="U73" s="117"/>
      <c r="V73" s="117"/>
      <c r="W73" s="117"/>
      <c r="X73" s="117"/>
      <c r="Y73" s="117"/>
      <c r="Z73" s="117"/>
      <c r="AA73" s="117"/>
      <c r="AB73" s="193">
        <f t="shared" ca="1" si="11"/>
        <v>46630</v>
      </c>
      <c r="AC73" s="261">
        <f t="shared" si="7"/>
        <v>70</v>
      </c>
      <c r="AD73" s="262"/>
      <c r="AE73" s="141">
        <f t="shared" si="12"/>
        <v>8744.9090417734042</v>
      </c>
      <c r="AF73" s="142"/>
      <c r="AG73" s="263">
        <f t="shared" si="15"/>
        <v>0</v>
      </c>
      <c r="AH73" s="264"/>
      <c r="AI73" s="256">
        <f t="shared" si="13"/>
        <v>8744.9090417734042</v>
      </c>
      <c r="AJ73" s="257"/>
      <c r="AK73" s="129">
        <f t="shared" si="10"/>
        <v>8744.9090417734042</v>
      </c>
      <c r="AL73" s="146">
        <f t="shared" si="14"/>
        <v>0</v>
      </c>
      <c r="AM73" s="137"/>
      <c r="AP73" s="144">
        <f t="shared" si="16"/>
        <v>-612143.63292413868</v>
      </c>
    </row>
    <row r="74" spans="1:42" ht="12" customHeight="1" x14ac:dyDescent="0.25">
      <c r="A74" s="9"/>
      <c r="B74" s="287"/>
      <c r="C74" s="287"/>
      <c r="D74" s="48"/>
      <c r="E74" s="48"/>
      <c r="F74" s="276"/>
      <c r="G74" s="276"/>
      <c r="H74" s="277"/>
      <c r="I74" s="277"/>
      <c r="J74" s="35"/>
      <c r="K74" s="35"/>
      <c r="L74" s="35"/>
      <c r="M74" s="35"/>
      <c r="N74" s="33"/>
      <c r="O74" s="159"/>
      <c r="R74" s="117"/>
      <c r="S74" s="128"/>
      <c r="T74" s="117"/>
      <c r="U74" s="117"/>
      <c r="V74" s="117"/>
      <c r="W74" s="117"/>
      <c r="X74" s="117"/>
      <c r="Y74" s="117"/>
      <c r="Z74" s="117"/>
      <c r="AA74" s="117"/>
      <c r="AB74" s="193">
        <f t="shared" ca="1" si="11"/>
        <v>46660</v>
      </c>
      <c r="AC74" s="261">
        <f t="shared" si="7"/>
        <v>71</v>
      </c>
      <c r="AD74" s="262"/>
      <c r="AE74" s="141">
        <f t="shared" si="12"/>
        <v>8744.9090417734042</v>
      </c>
      <c r="AF74" s="142"/>
      <c r="AG74" s="263">
        <f t="shared" si="15"/>
        <v>0</v>
      </c>
      <c r="AH74" s="264"/>
      <c r="AI74" s="256">
        <f t="shared" si="13"/>
        <v>8744.9090417734042</v>
      </c>
      <c r="AJ74" s="257"/>
      <c r="AK74" s="129">
        <f t="shared" si="10"/>
        <v>8744.9090417734042</v>
      </c>
      <c r="AL74" s="146">
        <f t="shared" si="14"/>
        <v>0</v>
      </c>
      <c r="AM74" s="137"/>
      <c r="AP74" s="144">
        <f t="shared" si="16"/>
        <v>-620888.5419659121</v>
      </c>
    </row>
    <row r="75" spans="1:42" ht="12" customHeight="1" x14ac:dyDescent="0.25">
      <c r="A75" s="9"/>
      <c r="B75" s="287"/>
      <c r="C75" s="287"/>
      <c r="D75" s="48"/>
      <c r="E75" s="48"/>
      <c r="F75" s="276"/>
      <c r="G75" s="276"/>
      <c r="H75" s="277"/>
      <c r="I75" s="277"/>
      <c r="J75" s="35"/>
      <c r="K75" s="35"/>
      <c r="L75" s="35"/>
      <c r="M75" s="35"/>
      <c r="N75" s="33"/>
      <c r="O75" s="159"/>
      <c r="R75" s="117"/>
      <c r="S75" s="128"/>
      <c r="T75" s="117"/>
      <c r="U75" s="117"/>
      <c r="V75" s="117"/>
      <c r="W75" s="117"/>
      <c r="X75" s="117"/>
      <c r="Y75" s="117"/>
      <c r="Z75" s="117"/>
      <c r="AA75" s="117"/>
      <c r="AB75" s="193">
        <f t="shared" ca="1" si="11"/>
        <v>46691</v>
      </c>
      <c r="AC75" s="261">
        <f t="shared" si="7"/>
        <v>72</v>
      </c>
      <c r="AD75" s="262"/>
      <c r="AE75" s="141">
        <f t="shared" si="12"/>
        <v>8744.9090417734042</v>
      </c>
      <c r="AF75" s="142"/>
      <c r="AG75" s="263">
        <f t="shared" si="15"/>
        <v>0</v>
      </c>
      <c r="AH75" s="264"/>
      <c r="AI75" s="256">
        <f t="shared" si="13"/>
        <v>8744.9090417734042</v>
      </c>
      <c r="AJ75" s="257"/>
      <c r="AK75" s="129">
        <f t="shared" si="10"/>
        <v>8744.9090417734042</v>
      </c>
      <c r="AL75" s="146">
        <f t="shared" si="14"/>
        <v>0</v>
      </c>
      <c r="AM75" s="137"/>
      <c r="AP75" s="144">
        <f t="shared" si="16"/>
        <v>-629633.45100768551</v>
      </c>
    </row>
    <row r="76" spans="1:42" ht="12" customHeight="1" x14ac:dyDescent="0.25">
      <c r="A76" s="9"/>
      <c r="B76" s="287"/>
      <c r="C76" s="287"/>
      <c r="D76" s="48"/>
      <c r="E76" s="48"/>
      <c r="F76" s="276"/>
      <c r="G76" s="276"/>
      <c r="H76" s="277"/>
      <c r="I76" s="277"/>
      <c r="J76" s="35"/>
      <c r="K76" s="35"/>
      <c r="L76" s="35"/>
      <c r="M76" s="35"/>
      <c r="N76" s="33"/>
      <c r="O76" s="159"/>
      <c r="R76" s="117"/>
      <c r="S76" s="128"/>
      <c r="T76" s="117"/>
      <c r="U76" s="117"/>
      <c r="V76" s="117"/>
      <c r="W76" s="117"/>
      <c r="X76" s="117"/>
      <c r="Y76" s="117"/>
      <c r="Z76" s="117"/>
      <c r="AA76" s="117"/>
      <c r="AB76" s="193">
        <f t="shared" ca="1" si="11"/>
        <v>46721</v>
      </c>
      <c r="AC76" s="261">
        <f t="shared" si="7"/>
        <v>73</v>
      </c>
      <c r="AD76" s="262"/>
      <c r="AE76" s="141">
        <f t="shared" si="12"/>
        <v>8744.9090417734042</v>
      </c>
      <c r="AF76" s="142"/>
      <c r="AG76" s="263">
        <f t="shared" si="15"/>
        <v>0</v>
      </c>
      <c r="AH76" s="264"/>
      <c r="AI76" s="256">
        <f t="shared" si="13"/>
        <v>8744.9090417734042</v>
      </c>
      <c r="AJ76" s="257"/>
      <c r="AK76" s="129">
        <f t="shared" si="10"/>
        <v>0</v>
      </c>
      <c r="AL76" s="146">
        <f t="shared" si="14"/>
        <v>0</v>
      </c>
      <c r="AM76" s="137" t="str">
        <f>IF($E$12&gt;$R$7,$E$6*0.9*0.9*0.9*0.9*0.9*0.9*5.5%,"")</f>
        <v/>
      </c>
      <c r="AP76" s="144">
        <f t="shared" si="16"/>
        <v>-638378.36004945892</v>
      </c>
    </row>
    <row r="77" spans="1:42" ht="12" customHeight="1" x14ac:dyDescent="0.25">
      <c r="A77" s="9"/>
      <c r="B77" s="287"/>
      <c r="C77" s="287"/>
      <c r="D77" s="48"/>
      <c r="E77" s="48"/>
      <c r="F77" s="276"/>
      <c r="G77" s="276"/>
      <c r="H77" s="277"/>
      <c r="I77" s="277"/>
      <c r="J77" s="35"/>
      <c r="K77" s="35"/>
      <c r="L77" s="35"/>
      <c r="M77" s="35"/>
      <c r="N77" s="33"/>
      <c r="O77" s="159"/>
      <c r="R77" s="117"/>
      <c r="S77" s="128"/>
      <c r="T77" s="117"/>
      <c r="U77" s="117"/>
      <c r="V77" s="117"/>
      <c r="W77" s="117"/>
      <c r="X77" s="117"/>
      <c r="Y77" s="117"/>
      <c r="Z77" s="117"/>
      <c r="AA77" s="117"/>
      <c r="AB77" s="193">
        <f t="shared" ca="1" si="11"/>
        <v>46752</v>
      </c>
      <c r="AC77" s="261">
        <f t="shared" si="7"/>
        <v>74</v>
      </c>
      <c r="AD77" s="262"/>
      <c r="AE77" s="141">
        <f t="shared" si="12"/>
        <v>8744.9090417734042</v>
      </c>
      <c r="AF77" s="142"/>
      <c r="AG77" s="263">
        <f t="shared" si="15"/>
        <v>0</v>
      </c>
      <c r="AH77" s="264"/>
      <c r="AI77" s="256">
        <f t="shared" si="13"/>
        <v>8744.9090417734042</v>
      </c>
      <c r="AJ77" s="257"/>
      <c r="AK77" s="129">
        <f t="shared" si="10"/>
        <v>8744.9090417734042</v>
      </c>
      <c r="AL77" s="146">
        <f t="shared" si="14"/>
        <v>0</v>
      </c>
      <c r="AP77" s="144">
        <f t="shared" si="16"/>
        <v>-647123.26909123233</v>
      </c>
    </row>
    <row r="78" spans="1:42" ht="12" customHeight="1" x14ac:dyDescent="0.25">
      <c r="A78" s="9"/>
      <c r="B78" s="287"/>
      <c r="C78" s="287"/>
      <c r="D78" s="48"/>
      <c r="E78" s="48"/>
      <c r="F78" s="276"/>
      <c r="G78" s="276"/>
      <c r="H78" s="277"/>
      <c r="I78" s="277"/>
      <c r="J78" s="35"/>
      <c r="K78" s="35"/>
      <c r="L78" s="35"/>
      <c r="M78" s="35"/>
      <c r="N78" s="33"/>
      <c r="O78" s="159"/>
      <c r="R78" s="117"/>
      <c r="S78" s="128"/>
      <c r="T78" s="117"/>
      <c r="U78" s="117"/>
      <c r="V78" s="117"/>
      <c r="W78" s="117"/>
      <c r="X78" s="117"/>
      <c r="Y78" s="117"/>
      <c r="Z78" s="117"/>
      <c r="AA78" s="117"/>
      <c r="AB78" s="193">
        <f t="shared" ca="1" si="11"/>
        <v>46783</v>
      </c>
      <c r="AC78" s="261">
        <f t="shared" si="7"/>
        <v>75</v>
      </c>
      <c r="AD78" s="262"/>
      <c r="AE78" s="141">
        <f t="shared" si="12"/>
        <v>8744.9090417734042</v>
      </c>
      <c r="AF78" s="142"/>
      <c r="AG78" s="263">
        <f t="shared" si="15"/>
        <v>0</v>
      </c>
      <c r="AH78" s="264"/>
      <c r="AI78" s="256">
        <f t="shared" si="13"/>
        <v>8744.9090417734042</v>
      </c>
      <c r="AJ78" s="257"/>
      <c r="AK78" s="129">
        <f t="shared" si="10"/>
        <v>8744.9090417734042</v>
      </c>
      <c r="AL78" s="146">
        <f t="shared" si="14"/>
        <v>0</v>
      </c>
      <c r="AP78" s="144">
        <f t="shared" si="16"/>
        <v>-655868.17813300574</v>
      </c>
    </row>
    <row r="79" spans="1:42" ht="12" customHeight="1" x14ac:dyDescent="0.25">
      <c r="A79" s="9"/>
      <c r="B79" s="287"/>
      <c r="C79" s="287"/>
      <c r="D79" s="48"/>
      <c r="E79" s="48"/>
      <c r="F79" s="276"/>
      <c r="G79" s="276"/>
      <c r="H79" s="277"/>
      <c r="I79" s="277"/>
      <c r="J79" s="35"/>
      <c r="K79" s="35"/>
      <c r="L79" s="35"/>
      <c r="M79" s="35"/>
      <c r="N79" s="33"/>
      <c r="O79" s="159"/>
      <c r="R79" s="117"/>
      <c r="S79" s="128"/>
      <c r="T79" s="117"/>
      <c r="U79" s="117"/>
      <c r="V79" s="117"/>
      <c r="W79" s="117"/>
      <c r="X79" s="117"/>
      <c r="Y79" s="117"/>
      <c r="Z79" s="117"/>
      <c r="AA79" s="117"/>
      <c r="AB79" s="193">
        <f t="shared" ca="1" si="11"/>
        <v>46812</v>
      </c>
      <c r="AC79" s="261">
        <f>AC78+1</f>
        <v>76</v>
      </c>
      <c r="AD79" s="262"/>
      <c r="AE79" s="141">
        <f t="shared" si="12"/>
        <v>8744.9090417734042</v>
      </c>
      <c r="AF79" s="142"/>
      <c r="AG79" s="263">
        <f t="shared" si="15"/>
        <v>0</v>
      </c>
      <c r="AH79" s="264"/>
      <c r="AI79" s="256">
        <f t="shared" si="13"/>
        <v>8744.9090417734042</v>
      </c>
      <c r="AJ79" s="257"/>
      <c r="AK79" s="129">
        <f t="shared" si="10"/>
        <v>8744.9090417734042</v>
      </c>
      <c r="AL79" s="146">
        <f t="shared" si="14"/>
        <v>0</v>
      </c>
      <c r="AP79" s="144">
        <f t="shared" si="16"/>
        <v>-664613.08717477915</v>
      </c>
    </row>
    <row r="80" spans="1:42" ht="12" customHeight="1" x14ac:dyDescent="0.25">
      <c r="A80" s="9"/>
      <c r="B80" s="287"/>
      <c r="C80" s="287"/>
      <c r="D80" s="48"/>
      <c r="E80" s="48"/>
      <c r="F80" s="276"/>
      <c r="G80" s="276"/>
      <c r="H80" s="277"/>
      <c r="I80" s="277"/>
      <c r="J80" s="35"/>
      <c r="K80" s="35"/>
      <c r="L80" s="35"/>
      <c r="M80" s="35"/>
      <c r="N80" s="33"/>
      <c r="O80" s="159"/>
      <c r="R80" s="117"/>
      <c r="S80" s="128"/>
      <c r="T80" s="117"/>
      <c r="U80" s="117"/>
      <c r="V80" s="117"/>
      <c r="W80" s="117"/>
      <c r="X80" s="117"/>
      <c r="Y80" s="117"/>
      <c r="Z80" s="117"/>
      <c r="AA80" s="117"/>
      <c r="AB80" s="193">
        <f t="shared" ca="1" si="11"/>
        <v>46843</v>
      </c>
      <c r="AC80" s="261">
        <f t="shared" ref="AC80:AC88" si="17">AC79+1</f>
        <v>77</v>
      </c>
      <c r="AD80" s="262"/>
      <c r="AE80" s="141">
        <f t="shared" si="12"/>
        <v>8744.9090417734042</v>
      </c>
      <c r="AF80" s="142"/>
      <c r="AG80" s="263">
        <f t="shared" si="15"/>
        <v>0</v>
      </c>
      <c r="AH80" s="264"/>
      <c r="AI80" s="256">
        <f t="shared" si="13"/>
        <v>8744.9090417734042</v>
      </c>
      <c r="AJ80" s="257"/>
      <c r="AK80" s="129">
        <f t="shared" si="10"/>
        <v>8744.9090417734042</v>
      </c>
      <c r="AL80" s="146">
        <f t="shared" si="14"/>
        <v>0</v>
      </c>
      <c r="AP80" s="144">
        <f t="shared" si="16"/>
        <v>-673357.99621655256</v>
      </c>
    </row>
    <row r="81" spans="1:42" ht="12" customHeight="1" x14ac:dyDescent="0.25">
      <c r="A81" s="9"/>
      <c r="B81" s="287"/>
      <c r="C81" s="287"/>
      <c r="D81" s="48"/>
      <c r="E81" s="48"/>
      <c r="F81" s="276"/>
      <c r="G81" s="276"/>
      <c r="H81" s="277"/>
      <c r="I81" s="277"/>
      <c r="J81" s="35"/>
      <c r="K81" s="35"/>
      <c r="L81" s="35"/>
      <c r="M81" s="35"/>
      <c r="N81" s="33"/>
      <c r="O81" s="159"/>
      <c r="R81" s="117"/>
      <c r="S81" s="128"/>
      <c r="T81" s="117"/>
      <c r="U81" s="117"/>
      <c r="V81" s="117"/>
      <c r="W81" s="117"/>
      <c r="X81" s="117"/>
      <c r="Y81" s="117"/>
      <c r="Z81" s="117"/>
      <c r="AA81" s="117"/>
      <c r="AB81" s="193">
        <f t="shared" ca="1" si="11"/>
        <v>46873</v>
      </c>
      <c r="AC81" s="261">
        <f t="shared" si="17"/>
        <v>78</v>
      </c>
      <c r="AD81" s="262"/>
      <c r="AE81" s="141">
        <f t="shared" si="12"/>
        <v>8744.9090417734042</v>
      </c>
      <c r="AF81" s="142"/>
      <c r="AG81" s="263">
        <f t="shared" si="15"/>
        <v>0</v>
      </c>
      <c r="AH81" s="264"/>
      <c r="AI81" s="256">
        <f t="shared" si="13"/>
        <v>8744.9090417734042</v>
      </c>
      <c r="AJ81" s="257"/>
      <c r="AK81" s="129">
        <f t="shared" si="10"/>
        <v>8744.9090417734042</v>
      </c>
      <c r="AL81" s="146">
        <f t="shared" si="14"/>
        <v>0</v>
      </c>
      <c r="AP81" s="144">
        <f t="shared" si="16"/>
        <v>-682102.90525832598</v>
      </c>
    </row>
    <row r="82" spans="1:42" ht="12" customHeight="1" x14ac:dyDescent="0.25">
      <c r="A82" s="9"/>
      <c r="B82" s="287"/>
      <c r="C82" s="287"/>
      <c r="D82" s="48"/>
      <c r="E82" s="48"/>
      <c r="F82" s="276"/>
      <c r="G82" s="276"/>
      <c r="H82" s="277"/>
      <c r="I82" s="277"/>
      <c r="J82" s="35"/>
      <c r="K82" s="35"/>
      <c r="L82" s="35"/>
      <c r="M82" s="35"/>
      <c r="N82" s="33"/>
      <c r="O82" s="159"/>
      <c r="R82" s="117"/>
      <c r="S82" s="128"/>
      <c r="T82" s="117"/>
      <c r="U82" s="117"/>
      <c r="V82" s="117"/>
      <c r="W82" s="117"/>
      <c r="X82" s="117"/>
      <c r="Y82" s="117"/>
      <c r="Z82" s="117"/>
      <c r="AA82" s="117"/>
      <c r="AB82" s="193">
        <f t="shared" ca="1" si="11"/>
        <v>46904</v>
      </c>
      <c r="AC82" s="261">
        <f t="shared" si="17"/>
        <v>79</v>
      </c>
      <c r="AD82" s="262"/>
      <c r="AE82" s="141">
        <f t="shared" si="12"/>
        <v>8744.9090417734042</v>
      </c>
      <c r="AF82" s="142"/>
      <c r="AG82" s="263">
        <f t="shared" si="15"/>
        <v>0</v>
      </c>
      <c r="AH82" s="264"/>
      <c r="AI82" s="256">
        <f t="shared" si="13"/>
        <v>8744.9090417734042</v>
      </c>
      <c r="AJ82" s="257"/>
      <c r="AK82" s="129">
        <f t="shared" si="10"/>
        <v>8744.9090417734042</v>
      </c>
      <c r="AL82" s="146">
        <f t="shared" si="14"/>
        <v>0</v>
      </c>
      <c r="AP82" s="144">
        <f t="shared" si="16"/>
        <v>-690847.81430009939</v>
      </c>
    </row>
    <row r="83" spans="1:42" ht="12" customHeight="1" x14ac:dyDescent="0.25">
      <c r="A83" s="9"/>
      <c r="B83" s="287"/>
      <c r="C83" s="287"/>
      <c r="D83" s="48"/>
      <c r="E83" s="48"/>
      <c r="F83" s="276"/>
      <c r="G83" s="276"/>
      <c r="H83" s="277"/>
      <c r="I83" s="277"/>
      <c r="J83" s="35"/>
      <c r="K83" s="35"/>
      <c r="L83" s="35"/>
      <c r="M83" s="35"/>
      <c r="N83" s="33"/>
      <c r="O83" s="159"/>
      <c r="R83" s="117"/>
      <c r="S83" s="128"/>
      <c r="T83" s="117"/>
      <c r="U83" s="117"/>
      <c r="V83" s="117"/>
      <c r="W83" s="117"/>
      <c r="X83" s="117"/>
      <c r="Y83" s="117"/>
      <c r="Z83" s="117"/>
      <c r="AA83" s="117"/>
      <c r="AB83" s="193">
        <f t="shared" ca="1" si="11"/>
        <v>46934</v>
      </c>
      <c r="AC83" s="261">
        <f t="shared" si="17"/>
        <v>80</v>
      </c>
      <c r="AD83" s="262"/>
      <c r="AE83" s="141">
        <f t="shared" si="12"/>
        <v>8744.9090417734042</v>
      </c>
      <c r="AF83" s="142"/>
      <c r="AG83" s="263">
        <f t="shared" si="15"/>
        <v>0</v>
      </c>
      <c r="AH83" s="264"/>
      <c r="AI83" s="256">
        <f t="shared" si="13"/>
        <v>8744.9090417734042</v>
      </c>
      <c r="AJ83" s="257"/>
      <c r="AK83" s="129">
        <f t="shared" si="10"/>
        <v>8744.9090417734042</v>
      </c>
      <c r="AL83" s="146">
        <f t="shared" si="14"/>
        <v>0</v>
      </c>
      <c r="AP83" s="144">
        <f t="shared" si="16"/>
        <v>-699592.7233418728</v>
      </c>
    </row>
    <row r="84" spans="1:42" ht="12" customHeight="1" x14ac:dyDescent="0.25">
      <c r="A84" s="9"/>
      <c r="B84" s="287"/>
      <c r="C84" s="287"/>
      <c r="D84" s="48"/>
      <c r="E84" s="48"/>
      <c r="F84" s="276"/>
      <c r="G84" s="276"/>
      <c r="H84" s="277"/>
      <c r="I84" s="277"/>
      <c r="J84" s="35"/>
      <c r="K84" s="35"/>
      <c r="L84" s="35"/>
      <c r="M84" s="35"/>
      <c r="N84" s="33"/>
      <c r="O84" s="159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93">
        <f t="shared" ca="1" si="11"/>
        <v>46965</v>
      </c>
      <c r="AC84" s="261">
        <f t="shared" si="17"/>
        <v>81</v>
      </c>
      <c r="AD84" s="262"/>
      <c r="AE84" s="141">
        <f t="shared" si="12"/>
        <v>8744.9090417734042</v>
      </c>
      <c r="AF84" s="142"/>
      <c r="AG84" s="263">
        <f t="shared" si="15"/>
        <v>0</v>
      </c>
      <c r="AH84" s="264"/>
      <c r="AI84" s="256">
        <f t="shared" si="13"/>
        <v>8744.9090417734042</v>
      </c>
      <c r="AJ84" s="257"/>
      <c r="AK84" s="129">
        <f t="shared" si="10"/>
        <v>8744.9090417734042</v>
      </c>
      <c r="AL84" s="146">
        <f t="shared" si="14"/>
        <v>0</v>
      </c>
      <c r="AP84" s="144">
        <f t="shared" si="16"/>
        <v>-708337.63238364621</v>
      </c>
    </row>
    <row r="85" spans="1:42" ht="12" customHeight="1" x14ac:dyDescent="0.25">
      <c r="A85" s="9"/>
      <c r="B85" s="287"/>
      <c r="C85" s="287"/>
      <c r="D85" s="48"/>
      <c r="E85" s="48"/>
      <c r="F85" s="276"/>
      <c r="G85" s="276"/>
      <c r="H85" s="277"/>
      <c r="I85" s="277"/>
      <c r="J85" s="35"/>
      <c r="K85" s="35"/>
      <c r="L85" s="35"/>
      <c r="M85" s="35"/>
      <c r="N85" s="33"/>
      <c r="O85" s="159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93">
        <f t="shared" ca="1" si="11"/>
        <v>46996</v>
      </c>
      <c r="AC85" s="261">
        <f t="shared" si="17"/>
        <v>82</v>
      </c>
      <c r="AD85" s="262"/>
      <c r="AE85" s="141">
        <f t="shared" si="12"/>
        <v>8744.9090417734042</v>
      </c>
      <c r="AF85" s="142"/>
      <c r="AG85" s="263">
        <f t="shared" si="15"/>
        <v>0</v>
      </c>
      <c r="AH85" s="264"/>
      <c r="AI85" s="256">
        <f t="shared" si="13"/>
        <v>8744.9090417734042</v>
      </c>
      <c r="AJ85" s="257"/>
      <c r="AK85" s="129">
        <f t="shared" si="10"/>
        <v>8744.9090417734042</v>
      </c>
      <c r="AL85" s="146">
        <f t="shared" si="14"/>
        <v>0</v>
      </c>
      <c r="AP85" s="144">
        <f t="shared" si="16"/>
        <v>-717082.54142541962</v>
      </c>
    </row>
    <row r="86" spans="1:42" ht="12" customHeight="1" x14ac:dyDescent="0.25">
      <c r="A86" s="9"/>
      <c r="B86" s="287"/>
      <c r="C86" s="287"/>
      <c r="D86" s="48"/>
      <c r="E86" s="48"/>
      <c r="F86" s="276"/>
      <c r="G86" s="276"/>
      <c r="H86" s="277"/>
      <c r="I86" s="277"/>
      <c r="J86" s="35"/>
      <c r="K86" s="35"/>
      <c r="L86" s="35"/>
      <c r="M86" s="35"/>
      <c r="N86" s="33"/>
      <c r="O86" s="159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93">
        <f t="shared" ca="1" si="11"/>
        <v>47026</v>
      </c>
      <c r="AC86" s="261">
        <f t="shared" si="17"/>
        <v>83</v>
      </c>
      <c r="AD86" s="262"/>
      <c r="AE86" s="141">
        <f t="shared" si="12"/>
        <v>8744.9090417734042</v>
      </c>
      <c r="AF86" s="142"/>
      <c r="AG86" s="263">
        <f t="shared" si="15"/>
        <v>0</v>
      </c>
      <c r="AH86" s="264"/>
      <c r="AI86" s="256">
        <f t="shared" si="13"/>
        <v>8744.9090417734042</v>
      </c>
      <c r="AJ86" s="257"/>
      <c r="AK86" s="129">
        <f t="shared" si="10"/>
        <v>8744.9090417734042</v>
      </c>
      <c r="AL86" s="146">
        <f t="shared" si="14"/>
        <v>0</v>
      </c>
      <c r="AP86" s="144">
        <f t="shared" si="16"/>
        <v>-725827.45046719303</v>
      </c>
    </row>
    <row r="87" spans="1:42" ht="12" customHeight="1" x14ac:dyDescent="0.25">
      <c r="A87" s="9"/>
      <c r="B87" s="287"/>
      <c r="C87" s="287"/>
      <c r="D87" s="48"/>
      <c r="E87" s="48"/>
      <c r="F87" s="276"/>
      <c r="G87" s="276"/>
      <c r="H87" s="277"/>
      <c r="I87" s="277"/>
      <c r="J87" s="35"/>
      <c r="K87" s="35"/>
      <c r="L87" s="35"/>
      <c r="M87" s="35"/>
      <c r="N87" s="33"/>
      <c r="O87" s="159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93">
        <f t="shared" ca="1" si="11"/>
        <v>47057</v>
      </c>
      <c r="AC87" s="261">
        <f>AC86+1</f>
        <v>84</v>
      </c>
      <c r="AD87" s="262"/>
      <c r="AE87" s="141">
        <f t="shared" si="12"/>
        <v>8744.9090417734042</v>
      </c>
      <c r="AF87" s="142"/>
      <c r="AG87" s="263">
        <f t="shared" si="15"/>
        <v>0</v>
      </c>
      <c r="AH87" s="264"/>
      <c r="AI87" s="256">
        <f t="shared" si="13"/>
        <v>8744.9090417734042</v>
      </c>
      <c r="AJ87" s="257"/>
      <c r="AK87" s="129">
        <f t="shared" si="10"/>
        <v>8744.9090417734042</v>
      </c>
      <c r="AL87" s="146">
        <f t="shared" si="14"/>
        <v>0</v>
      </c>
      <c r="AP87" s="144">
        <f t="shared" si="16"/>
        <v>-734572.35950896644</v>
      </c>
    </row>
    <row r="88" spans="1:42" ht="12" customHeight="1" x14ac:dyDescent="0.25">
      <c r="A88" s="9"/>
      <c r="B88" s="287"/>
      <c r="C88" s="287"/>
      <c r="D88" s="48"/>
      <c r="E88" s="48"/>
      <c r="F88" s="276"/>
      <c r="G88" s="276"/>
      <c r="H88" s="277"/>
      <c r="I88" s="277"/>
      <c r="J88" s="35"/>
      <c r="K88" s="35"/>
      <c r="L88" s="35"/>
      <c r="M88" s="35"/>
      <c r="N88" s="33"/>
      <c r="O88" s="159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93">
        <f t="shared" ca="1" si="11"/>
        <v>47087</v>
      </c>
      <c r="AC88" s="261">
        <f t="shared" si="17"/>
        <v>85</v>
      </c>
      <c r="AD88" s="262"/>
      <c r="AE88" s="141" t="e">
        <f t="shared" ref="AE88:AE89" si="18">IF($AE$4=0,PPMT($E$14/1200,AC87,$E$12,-$N$2),PPMT($E$14/1200,AC88,$E$12,-$N$2))</f>
        <v>#NUM!</v>
      </c>
      <c r="AF88" s="206"/>
      <c r="AG88" s="263">
        <f t="shared" si="15"/>
        <v>0</v>
      </c>
      <c r="AH88" s="264"/>
      <c r="AI88" s="256" t="e">
        <f t="shared" ref="AI88" si="19">AG88+AE88</f>
        <v>#NUM!</v>
      </c>
      <c r="AJ88" s="257"/>
      <c r="AK88" s="129">
        <f t="shared" si="10"/>
        <v>0</v>
      </c>
    </row>
    <row r="89" spans="1:42" ht="12" customHeight="1" x14ac:dyDescent="0.25">
      <c r="A89" s="9"/>
      <c r="B89" s="287"/>
      <c r="C89" s="287"/>
      <c r="D89" s="48"/>
      <c r="E89" s="48"/>
      <c r="F89" s="276"/>
      <c r="G89" s="276"/>
      <c r="H89" s="277"/>
      <c r="I89" s="277"/>
      <c r="J89" s="35"/>
      <c r="K89" s="35"/>
      <c r="L89" s="35"/>
      <c r="M89" s="35"/>
      <c r="N89" s="33"/>
      <c r="O89" s="159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93">
        <f t="shared" ca="1" si="11"/>
        <v>47118</v>
      </c>
      <c r="AC89" s="261">
        <f>AC88+1</f>
        <v>86</v>
      </c>
      <c r="AD89" s="262"/>
      <c r="AE89" s="207" t="e">
        <f t="shared" si="18"/>
        <v>#NUM!</v>
      </c>
      <c r="AG89" s="263">
        <f t="shared" si="15"/>
        <v>0</v>
      </c>
      <c r="AH89" s="264"/>
      <c r="AI89" s="300" t="e">
        <f>AG89+AE89</f>
        <v>#NUM!</v>
      </c>
      <c r="AJ89" s="301"/>
      <c r="AK89" s="129">
        <f t="shared" si="10"/>
        <v>0</v>
      </c>
    </row>
    <row r="90" spans="1:42" ht="12" customHeight="1" thickBot="1" x14ac:dyDescent="0.3">
      <c r="A90" s="9"/>
      <c r="B90" s="287"/>
      <c r="C90" s="287"/>
      <c r="D90" s="48"/>
      <c r="E90" s="48"/>
      <c r="F90" s="276"/>
      <c r="G90" s="276"/>
      <c r="H90" s="277"/>
      <c r="I90" s="277"/>
      <c r="J90" s="35"/>
      <c r="K90" s="35"/>
      <c r="L90" s="35"/>
      <c r="M90" s="35"/>
      <c r="N90" s="33"/>
      <c r="O90" s="159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93">
        <f t="shared" ca="1" si="11"/>
        <v>47149</v>
      </c>
      <c r="AC90" s="288" t="s">
        <v>15</v>
      </c>
      <c r="AD90" s="289"/>
      <c r="AE90" s="208" t="b">
        <f>IF($E$12=$R$2,SUM(AE4:AF15),IF($E$12=$R$3,SUM(AE4:AF27),IF($E$12=$R$4,SUM(AE4:AF39),IF($E$12=$R$5,SUM(AE4:AF51),IF($E$12=$R$6,SUM(AE4:AF63),IF($E$12=$R$7,SUM(AE4:AF75),IF($E$12=$R$8,SUM(AE4:AF87))))))))</f>
        <v>0</v>
      </c>
      <c r="AF90" s="209"/>
      <c r="AG90" s="298" t="b">
        <f>(IF($E$12=$R$2,SUM(AG4:AH15),IF($E$12=$R$3,SUM(AG4:AH27),IF($E$12=$R$4,SUM(AG4:AH39),IF($E$12=$R$5,SUM(AG4:AH51),IF($E$12=$R$6,SUM(AG4:AH63),IF($E$12=$R$7,SUM(AG4:AH75),IF($E$12=$R$8,SUM(AG4:AH87)))))))))</f>
        <v>0</v>
      </c>
      <c r="AH90" s="299"/>
      <c r="AI90" s="298" t="b">
        <f>IF($E$12=$R$2,SUM(AI4:AJ15),IF($E$12=$R$3,SUM(AI4:AJ27),IF($E$12=$R$4,SUM(AI4:AJ39),IF($E$12=$R$5,SUM(AI4:AJ51),IF($E$12=$R$6,SUM(AI4:AJ63),IF($E$12=$R$7,SUM(AI4:AJ75),IF($E$12=$R$8,SUM(AI4:AJ87))))))))</f>
        <v>0</v>
      </c>
      <c r="AJ90" s="299"/>
      <c r="AK90" s="129">
        <f t="shared" si="10"/>
        <v>0</v>
      </c>
    </row>
    <row r="91" spans="1:42" ht="12" customHeight="1" x14ac:dyDescent="0.2">
      <c r="A91" s="9"/>
      <c r="B91" s="287"/>
      <c r="C91" s="287"/>
      <c r="D91" s="48"/>
      <c r="E91" s="48"/>
      <c r="F91" s="276"/>
      <c r="G91" s="276"/>
      <c r="H91" s="277"/>
      <c r="I91" s="277"/>
      <c r="J91" s="36"/>
      <c r="K91" s="35"/>
      <c r="L91" s="35"/>
      <c r="M91" s="35"/>
      <c r="N91" s="33"/>
      <c r="O91" s="159"/>
      <c r="R91" s="117"/>
      <c r="S91" s="117"/>
      <c r="T91" s="117"/>
      <c r="U91" s="117"/>
      <c r="V91" s="117"/>
      <c r="W91" s="117"/>
      <c r="X91" s="117"/>
      <c r="Y91" s="117"/>
      <c r="Z91" s="117"/>
      <c r="AA91" s="117"/>
    </row>
    <row r="92" spans="1:42" ht="12" customHeight="1" x14ac:dyDescent="0.2">
      <c r="A92" s="9"/>
      <c r="B92" s="287"/>
      <c r="C92" s="287"/>
      <c r="D92" s="48"/>
      <c r="E92" s="48"/>
      <c r="F92" s="276"/>
      <c r="G92" s="276"/>
      <c r="H92" s="277"/>
      <c r="I92" s="277"/>
      <c r="J92" s="36"/>
      <c r="K92" s="35"/>
      <c r="L92" s="35"/>
      <c r="M92" s="35"/>
      <c r="N92" s="33"/>
      <c r="O92" s="159"/>
      <c r="R92" s="117"/>
      <c r="S92" s="117"/>
      <c r="T92" s="117"/>
      <c r="U92" s="117"/>
      <c r="V92" s="117"/>
      <c r="W92" s="117"/>
      <c r="X92" s="117"/>
      <c r="Y92" s="117"/>
      <c r="Z92" s="117"/>
      <c r="AA92" s="117"/>
    </row>
    <row r="93" spans="1:42" ht="12" customHeight="1" x14ac:dyDescent="0.2">
      <c r="A93" s="9"/>
      <c r="B93" s="287"/>
      <c r="C93" s="287"/>
      <c r="D93" s="48"/>
      <c r="E93" s="48"/>
      <c r="F93" s="276"/>
      <c r="G93" s="276"/>
      <c r="H93" s="277"/>
      <c r="I93" s="277"/>
      <c r="J93" s="36"/>
      <c r="K93" s="35"/>
      <c r="L93" s="35"/>
      <c r="M93" s="35"/>
      <c r="N93" s="33"/>
      <c r="O93" s="159"/>
      <c r="R93" s="117"/>
      <c r="S93" s="117"/>
      <c r="T93" s="117"/>
      <c r="U93" s="117"/>
      <c r="V93" s="117"/>
      <c r="W93" s="117"/>
      <c r="X93" s="117"/>
      <c r="Y93" s="117"/>
      <c r="Z93" s="117"/>
      <c r="AA93" s="117"/>
    </row>
    <row r="94" spans="1:42" ht="12" customHeight="1" x14ac:dyDescent="0.2">
      <c r="A94" s="9"/>
      <c r="B94" s="287"/>
      <c r="C94" s="287"/>
      <c r="D94" s="48"/>
      <c r="E94" s="48"/>
      <c r="F94" s="276"/>
      <c r="G94" s="276"/>
      <c r="H94" s="277"/>
      <c r="I94" s="277"/>
      <c r="J94" s="36"/>
      <c r="K94" s="35"/>
      <c r="L94" s="35"/>
      <c r="M94" s="35"/>
      <c r="N94" s="33"/>
      <c r="O94" s="159"/>
      <c r="R94" s="117"/>
      <c r="S94" s="117"/>
      <c r="T94" s="117"/>
      <c r="U94" s="117"/>
      <c r="V94" s="117"/>
      <c r="W94" s="117"/>
      <c r="X94" s="117"/>
      <c r="Y94" s="117"/>
      <c r="Z94" s="117"/>
      <c r="AA94" s="117"/>
    </row>
    <row r="95" spans="1:42" ht="12" customHeight="1" x14ac:dyDescent="0.2">
      <c r="A95" s="9"/>
      <c r="B95" s="287"/>
      <c r="C95" s="287"/>
      <c r="D95" s="48"/>
      <c r="E95" s="48"/>
      <c r="F95" s="276"/>
      <c r="G95" s="276"/>
      <c r="H95" s="277"/>
      <c r="I95" s="277"/>
      <c r="J95" s="36"/>
      <c r="K95" s="35"/>
      <c r="L95" s="35"/>
      <c r="M95" s="35"/>
      <c r="N95" s="33"/>
      <c r="O95" s="159"/>
      <c r="R95" s="117"/>
      <c r="S95" s="117"/>
      <c r="T95" s="117"/>
      <c r="U95" s="117"/>
      <c r="V95" s="117"/>
      <c r="W95" s="117"/>
      <c r="X95" s="117"/>
      <c r="Y95" s="117"/>
      <c r="Z95" s="117"/>
      <c r="AA95" s="117"/>
    </row>
    <row r="96" spans="1:42" ht="12" customHeight="1" x14ac:dyDescent="0.2">
      <c r="A96" s="9"/>
      <c r="B96" s="287"/>
      <c r="C96" s="287"/>
      <c r="D96" s="48"/>
      <c r="E96" s="48"/>
      <c r="F96" s="276"/>
      <c r="G96" s="276"/>
      <c r="H96" s="277"/>
      <c r="I96" s="277"/>
      <c r="J96" s="36"/>
      <c r="K96" s="35"/>
      <c r="L96" s="35"/>
      <c r="M96" s="35"/>
      <c r="N96" s="33"/>
      <c r="O96" s="159"/>
      <c r="R96" s="117"/>
      <c r="S96" s="117"/>
      <c r="T96" s="117"/>
      <c r="U96" s="117"/>
      <c r="V96" s="117"/>
      <c r="W96" s="117"/>
      <c r="X96" s="117"/>
      <c r="Y96" s="117"/>
      <c r="Z96" s="117"/>
      <c r="AA96" s="117"/>
    </row>
    <row r="97" spans="1:108" ht="12" customHeight="1" x14ac:dyDescent="0.2">
      <c r="A97" s="9"/>
      <c r="B97" s="287"/>
      <c r="C97" s="287"/>
      <c r="D97" s="48"/>
      <c r="E97" s="48"/>
      <c r="F97" s="276"/>
      <c r="G97" s="276"/>
      <c r="H97" s="277"/>
      <c r="I97" s="277"/>
      <c r="J97" s="37"/>
      <c r="K97" s="33"/>
      <c r="L97" s="33"/>
      <c r="M97" s="33"/>
      <c r="N97" s="33"/>
      <c r="O97" s="159"/>
      <c r="R97" s="117"/>
      <c r="S97" s="117"/>
      <c r="T97" s="117"/>
      <c r="U97" s="117"/>
      <c r="V97" s="117"/>
      <c r="W97" s="117"/>
      <c r="X97" s="117"/>
      <c r="Y97" s="117"/>
      <c r="Z97" s="117"/>
      <c r="AA97" s="117"/>
    </row>
    <row r="98" spans="1:108" ht="12" customHeight="1" x14ac:dyDescent="0.2">
      <c r="A98" s="9"/>
      <c r="B98" s="287"/>
      <c r="C98" s="287"/>
      <c r="D98" s="48"/>
      <c r="E98" s="48"/>
      <c r="F98" s="276"/>
      <c r="G98" s="276"/>
      <c r="H98" s="277"/>
      <c r="I98" s="277"/>
      <c r="J98" s="37"/>
      <c r="K98" s="33"/>
      <c r="L98" s="33"/>
      <c r="M98" s="33"/>
      <c r="N98" s="33"/>
      <c r="O98" s="159"/>
      <c r="R98" s="117"/>
      <c r="S98" s="117"/>
      <c r="T98" s="117"/>
      <c r="U98" s="117"/>
      <c r="V98" s="117"/>
      <c r="W98" s="117"/>
      <c r="X98" s="117"/>
      <c r="Y98" s="117"/>
      <c r="Z98" s="117"/>
      <c r="AA98" s="117"/>
    </row>
    <row r="99" spans="1:108" ht="12" customHeight="1" x14ac:dyDescent="0.2">
      <c r="A99" s="9"/>
      <c r="B99" s="287"/>
      <c r="C99" s="287"/>
      <c r="D99" s="48"/>
      <c r="E99" s="48"/>
      <c r="F99" s="276"/>
      <c r="G99" s="276"/>
      <c r="H99" s="277"/>
      <c r="I99" s="277"/>
      <c r="J99" s="15"/>
      <c r="K99" s="11"/>
      <c r="L99" s="11"/>
      <c r="M99" s="11"/>
      <c r="N99" s="11"/>
      <c r="O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</row>
    <row r="100" spans="1:108" ht="12" customHeight="1" x14ac:dyDescent="0.2">
      <c r="A100" s="9"/>
      <c r="B100" s="287"/>
      <c r="C100" s="287"/>
      <c r="D100" s="48"/>
      <c r="E100" s="48"/>
      <c r="F100" s="276"/>
      <c r="G100" s="276"/>
      <c r="H100" s="277"/>
      <c r="I100" s="277"/>
      <c r="J100" s="15"/>
      <c r="K100" s="11"/>
      <c r="L100" s="11"/>
      <c r="M100" s="11"/>
      <c r="N100" s="11"/>
      <c r="O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</row>
    <row r="101" spans="1:108" ht="12" customHeight="1" x14ac:dyDescent="0.2">
      <c r="A101" s="9"/>
      <c r="B101" s="287"/>
      <c r="C101" s="287"/>
      <c r="D101" s="48"/>
      <c r="E101" s="48"/>
      <c r="F101" s="276"/>
      <c r="G101" s="276"/>
      <c r="H101" s="277"/>
      <c r="I101" s="277"/>
      <c r="J101" s="15"/>
      <c r="K101" s="11"/>
      <c r="L101" s="11"/>
      <c r="M101" s="11"/>
      <c r="N101" s="11"/>
      <c r="O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</row>
    <row r="102" spans="1:108" ht="12" customHeight="1" x14ac:dyDescent="0.2">
      <c r="A102" s="9"/>
      <c r="B102" s="287"/>
      <c r="C102" s="287"/>
      <c r="D102" s="48"/>
      <c r="E102" s="48"/>
      <c r="F102" s="276"/>
      <c r="G102" s="276"/>
      <c r="H102" s="277"/>
      <c r="I102" s="277"/>
      <c r="J102" s="15"/>
      <c r="K102" s="11"/>
      <c r="L102" s="11"/>
      <c r="M102" s="11"/>
      <c r="N102" s="11"/>
      <c r="O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</row>
    <row r="103" spans="1:108" ht="12" customHeight="1" x14ac:dyDescent="0.2">
      <c r="A103" s="9"/>
      <c r="B103" s="287"/>
      <c r="C103" s="287"/>
      <c r="D103" s="48"/>
      <c r="E103" s="48"/>
      <c r="F103" s="276"/>
      <c r="G103" s="276"/>
      <c r="H103" s="277"/>
      <c r="I103" s="277"/>
      <c r="J103" s="15"/>
      <c r="K103" s="11"/>
      <c r="L103" s="11"/>
      <c r="M103" s="11"/>
      <c r="N103" s="11"/>
      <c r="O103" s="117"/>
      <c r="R103" s="117"/>
      <c r="S103" s="117"/>
      <c r="T103" s="210"/>
      <c r="U103" s="210"/>
      <c r="V103" s="210"/>
      <c r="W103" s="210"/>
      <c r="X103" s="210"/>
      <c r="Y103" s="210"/>
      <c r="Z103" s="210"/>
      <c r="AA103" s="117"/>
    </row>
    <row r="104" spans="1:108" ht="12" customHeight="1" x14ac:dyDescent="0.2">
      <c r="A104" s="9"/>
      <c r="B104" s="287"/>
      <c r="C104" s="287"/>
      <c r="D104" s="48"/>
      <c r="E104" s="48"/>
      <c r="F104" s="276"/>
      <c r="G104" s="276"/>
      <c r="H104" s="277"/>
      <c r="I104" s="277"/>
      <c r="J104" s="15"/>
      <c r="K104" s="11"/>
      <c r="L104" s="11"/>
      <c r="M104" s="11"/>
      <c r="N104" s="11"/>
      <c r="O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</row>
    <row r="105" spans="1:108" ht="12" customHeight="1" x14ac:dyDescent="0.2">
      <c r="A105" s="9"/>
      <c r="B105" s="287"/>
      <c r="C105" s="287"/>
      <c r="D105" s="48"/>
      <c r="E105" s="48"/>
      <c r="F105" s="276"/>
      <c r="G105" s="276"/>
      <c r="H105" s="277"/>
      <c r="I105" s="277"/>
      <c r="J105" s="15"/>
      <c r="K105" s="11"/>
      <c r="L105" s="11"/>
      <c r="M105" s="11"/>
      <c r="N105" s="11"/>
      <c r="O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</row>
    <row r="106" spans="1:108" ht="12" customHeight="1" x14ac:dyDescent="0.2">
      <c r="A106" s="9"/>
      <c r="B106" s="287"/>
      <c r="C106" s="287"/>
      <c r="D106" s="48"/>
      <c r="E106" s="48"/>
      <c r="F106" s="276"/>
      <c r="G106" s="276"/>
      <c r="H106" s="277"/>
      <c r="I106" s="277"/>
      <c r="J106" s="15"/>
      <c r="K106" s="11"/>
      <c r="L106" s="11"/>
      <c r="M106" s="11"/>
      <c r="N106" s="11"/>
      <c r="O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</row>
    <row r="107" spans="1:108" ht="12" customHeight="1" x14ac:dyDescent="0.2">
      <c r="A107" s="9"/>
      <c r="B107" s="287"/>
      <c r="C107" s="287"/>
      <c r="D107" s="48"/>
      <c r="E107" s="48"/>
      <c r="F107" s="276"/>
      <c r="G107" s="276"/>
      <c r="H107" s="277"/>
      <c r="I107" s="277"/>
      <c r="J107" s="15"/>
      <c r="K107" s="11"/>
      <c r="L107" s="11"/>
      <c r="M107" s="11"/>
      <c r="N107" s="11"/>
      <c r="O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</row>
    <row r="108" spans="1:108" ht="12" customHeight="1" x14ac:dyDescent="0.2">
      <c r="A108" s="9"/>
      <c r="B108" s="287"/>
      <c r="C108" s="287"/>
      <c r="D108" s="48"/>
      <c r="E108" s="48"/>
      <c r="F108" s="276"/>
      <c r="G108" s="276"/>
      <c r="H108" s="277"/>
      <c r="I108" s="277"/>
      <c r="J108" s="15"/>
      <c r="K108" s="11"/>
      <c r="L108" s="11"/>
      <c r="M108" s="11"/>
      <c r="N108" s="11"/>
      <c r="O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C108" s="211"/>
      <c r="AD108" s="211"/>
      <c r="AE108" s="211"/>
      <c r="AF108" s="211"/>
      <c r="AG108" s="211"/>
      <c r="AH108" s="211"/>
      <c r="AI108" s="211"/>
      <c r="AJ108" s="211"/>
    </row>
    <row r="109" spans="1:108" s="17" customFormat="1" ht="15.75" customHeight="1" x14ac:dyDescent="0.2">
      <c r="A109" s="32"/>
      <c r="B109" s="275"/>
      <c r="C109" s="275"/>
      <c r="D109" s="50"/>
      <c r="E109" s="51"/>
      <c r="F109" s="290"/>
      <c r="G109" s="290"/>
      <c r="H109" s="291"/>
      <c r="I109" s="291"/>
      <c r="J109" s="16"/>
      <c r="K109" s="16"/>
      <c r="L109" s="16"/>
      <c r="M109" s="16"/>
      <c r="N109" s="16"/>
      <c r="O109" s="210"/>
      <c r="P109" s="212"/>
      <c r="Q109" s="211"/>
      <c r="R109" s="210"/>
      <c r="S109" s="210"/>
      <c r="T109" s="117"/>
      <c r="U109" s="117"/>
      <c r="V109" s="117"/>
      <c r="W109" s="117"/>
      <c r="X109" s="117"/>
      <c r="Y109" s="117"/>
      <c r="Z109" s="117"/>
      <c r="AA109" s="210"/>
      <c r="AB109" s="211"/>
      <c r="AC109" s="121"/>
      <c r="AD109" s="121"/>
      <c r="AE109" s="121"/>
      <c r="AF109" s="121"/>
      <c r="AG109" s="121"/>
      <c r="AH109" s="121"/>
      <c r="AI109" s="121"/>
      <c r="AJ109" s="121"/>
      <c r="AK109" s="212"/>
      <c r="AL109" s="212"/>
      <c r="AM109" s="212"/>
      <c r="AN109" s="212"/>
      <c r="AO109" s="212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</row>
    <row r="110" spans="1:108" x14ac:dyDescent="0.2">
      <c r="A110" s="9"/>
      <c r="B110" s="292"/>
      <c r="C110" s="292"/>
      <c r="D110" s="38"/>
      <c r="E110" s="39"/>
      <c r="F110" s="293"/>
      <c r="G110" s="293"/>
      <c r="H110" s="294"/>
      <c r="I110" s="294"/>
      <c r="J110" s="20"/>
      <c r="K110" s="12"/>
      <c r="L110" s="11"/>
      <c r="M110" s="11"/>
      <c r="N110" s="11"/>
      <c r="O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</row>
    <row r="111" spans="1:108" ht="13.5" thickBot="1" x14ac:dyDescent="0.25">
      <c r="A111" s="31"/>
      <c r="B111" s="292"/>
      <c r="C111" s="292"/>
      <c r="D111" s="18"/>
      <c r="E111" s="19"/>
      <c r="F111" s="293"/>
      <c r="G111" s="293"/>
      <c r="H111" s="294"/>
      <c r="I111" s="294"/>
      <c r="J111" s="20"/>
      <c r="K111" s="12"/>
      <c r="L111" s="11"/>
      <c r="M111" s="11"/>
      <c r="N111" s="11"/>
      <c r="O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</row>
    <row r="112" spans="1:108" x14ac:dyDescent="0.2">
      <c r="B112" s="295"/>
      <c r="C112" s="295"/>
      <c r="D112" s="22"/>
      <c r="E112" s="23"/>
      <c r="F112" s="296"/>
      <c r="G112" s="296"/>
      <c r="H112" s="297"/>
      <c r="I112" s="297"/>
      <c r="J112" s="20"/>
      <c r="K112" s="12"/>
      <c r="L112" s="11"/>
      <c r="M112" s="11"/>
      <c r="N112" s="11"/>
      <c r="O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</row>
    <row r="113" spans="2:27" x14ac:dyDescent="0.2">
      <c r="B113" s="295"/>
      <c r="C113" s="295"/>
      <c r="D113" s="22"/>
      <c r="E113" s="23"/>
      <c r="F113" s="296"/>
      <c r="G113" s="296"/>
      <c r="H113" s="297"/>
      <c r="I113" s="297"/>
      <c r="J113" s="20"/>
      <c r="K113" s="12"/>
      <c r="L113" s="11"/>
      <c r="M113" s="11"/>
      <c r="N113" s="11"/>
      <c r="O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</row>
    <row r="114" spans="2:27" x14ac:dyDescent="0.2">
      <c r="B114" s="295"/>
      <c r="C114" s="295"/>
      <c r="D114" s="22"/>
      <c r="E114" s="23"/>
      <c r="F114" s="296"/>
      <c r="G114" s="296"/>
      <c r="H114" s="297"/>
      <c r="I114" s="297"/>
      <c r="J114" s="20"/>
      <c r="K114" s="12"/>
      <c r="L114" s="11"/>
      <c r="M114" s="11"/>
      <c r="N114" s="11"/>
      <c r="O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</row>
    <row r="115" spans="2:27" x14ac:dyDescent="0.2">
      <c r="B115" s="295"/>
      <c r="C115" s="295"/>
      <c r="D115" s="22"/>
      <c r="E115" s="23"/>
      <c r="F115" s="296"/>
      <c r="G115" s="296"/>
      <c r="H115" s="297"/>
      <c r="I115" s="297"/>
      <c r="J115" s="20"/>
      <c r="K115" s="12"/>
      <c r="L115" s="11"/>
      <c r="M115" s="11"/>
      <c r="N115" s="11"/>
      <c r="O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</row>
    <row r="116" spans="2:27" x14ac:dyDescent="0.2">
      <c r="B116" s="295"/>
      <c r="C116" s="295"/>
      <c r="D116" s="22"/>
      <c r="E116" s="23"/>
      <c r="F116" s="296"/>
      <c r="G116" s="296"/>
      <c r="H116" s="297"/>
      <c r="I116" s="297"/>
      <c r="J116" s="20"/>
      <c r="K116" s="12"/>
      <c r="L116" s="11"/>
      <c r="M116" s="11"/>
      <c r="N116" s="11"/>
      <c r="O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</row>
    <row r="117" spans="2:27" x14ac:dyDescent="0.2">
      <c r="B117" s="295"/>
      <c r="C117" s="295"/>
      <c r="D117" s="22"/>
      <c r="E117" s="23"/>
      <c r="F117" s="296"/>
      <c r="G117" s="296"/>
      <c r="H117" s="297"/>
      <c r="I117" s="297"/>
      <c r="J117" s="20"/>
      <c r="K117" s="12"/>
      <c r="L117" s="11"/>
      <c r="M117" s="11"/>
      <c r="N117" s="11"/>
      <c r="O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</row>
    <row r="118" spans="2:27" x14ac:dyDescent="0.2">
      <c r="B118" s="295"/>
      <c r="C118" s="295"/>
      <c r="D118" s="22"/>
      <c r="E118" s="23"/>
      <c r="F118" s="296"/>
      <c r="G118" s="296"/>
      <c r="H118" s="297"/>
      <c r="I118" s="297"/>
      <c r="J118" s="20"/>
      <c r="K118" s="12"/>
      <c r="L118" s="11"/>
      <c r="M118" s="11"/>
      <c r="N118" s="11"/>
      <c r="O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</row>
    <row r="119" spans="2:27" x14ac:dyDescent="0.2">
      <c r="B119" s="295"/>
      <c r="C119" s="295"/>
      <c r="D119" s="22"/>
      <c r="E119" s="23"/>
      <c r="F119" s="296"/>
      <c r="G119" s="296"/>
      <c r="H119" s="297"/>
      <c r="I119" s="297"/>
      <c r="J119" s="24"/>
      <c r="K119" s="25"/>
      <c r="L119" s="7"/>
      <c r="M119" s="7"/>
      <c r="N119" s="7"/>
      <c r="O119" s="121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</row>
    <row r="120" spans="2:27" x14ac:dyDescent="0.2">
      <c r="B120" s="295"/>
      <c r="C120" s="295"/>
      <c r="D120" s="22"/>
      <c r="E120" s="23"/>
      <c r="F120" s="296"/>
      <c r="G120" s="296"/>
      <c r="H120" s="297"/>
      <c r="I120" s="297"/>
      <c r="J120" s="24"/>
      <c r="K120" s="25"/>
      <c r="L120" s="7"/>
      <c r="M120" s="7"/>
      <c r="N120" s="7"/>
      <c r="O120" s="121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</row>
    <row r="121" spans="2:27" x14ac:dyDescent="0.2">
      <c r="B121" s="295"/>
      <c r="C121" s="295"/>
      <c r="D121" s="22"/>
      <c r="E121" s="23"/>
      <c r="F121" s="296"/>
      <c r="G121" s="296"/>
      <c r="H121" s="297"/>
      <c r="I121" s="297"/>
      <c r="J121" s="26"/>
      <c r="K121" s="7"/>
      <c r="L121" s="7"/>
      <c r="M121" s="7"/>
      <c r="N121" s="7"/>
      <c r="O121" s="121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</row>
    <row r="122" spans="2:27" x14ac:dyDescent="0.2">
      <c r="B122" s="295"/>
      <c r="C122" s="295"/>
      <c r="D122" s="22"/>
      <c r="E122" s="23"/>
      <c r="F122" s="296"/>
      <c r="G122" s="296"/>
      <c r="H122" s="297"/>
      <c r="I122" s="297"/>
      <c r="J122" s="26"/>
      <c r="K122" s="7"/>
      <c r="L122" s="7"/>
      <c r="M122" s="7"/>
      <c r="N122" s="7"/>
      <c r="O122" s="121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</row>
    <row r="123" spans="2:27" x14ac:dyDescent="0.2">
      <c r="B123" s="295"/>
      <c r="C123" s="295"/>
      <c r="D123" s="22"/>
      <c r="E123" s="23"/>
      <c r="F123" s="296"/>
      <c r="G123" s="296"/>
      <c r="H123" s="297"/>
      <c r="I123" s="297"/>
      <c r="J123" s="26"/>
      <c r="K123" s="7"/>
      <c r="L123" s="7"/>
      <c r="M123" s="7"/>
      <c r="N123" s="7"/>
      <c r="O123" s="121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</row>
    <row r="124" spans="2:27" x14ac:dyDescent="0.2">
      <c r="B124" s="295"/>
      <c r="C124" s="295"/>
      <c r="D124" s="22"/>
      <c r="E124" s="23"/>
      <c r="F124" s="296"/>
      <c r="G124" s="296"/>
      <c r="H124" s="297"/>
      <c r="I124" s="297"/>
      <c r="J124" s="26"/>
      <c r="K124" s="7"/>
      <c r="L124" s="7"/>
      <c r="M124" s="7"/>
      <c r="N124" s="7"/>
      <c r="O124" s="121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</row>
    <row r="125" spans="2:27" x14ac:dyDescent="0.2">
      <c r="B125" s="295"/>
      <c r="C125" s="295"/>
      <c r="D125" s="22"/>
      <c r="E125" s="23"/>
      <c r="F125" s="296"/>
      <c r="G125" s="296"/>
      <c r="H125" s="297"/>
      <c r="I125" s="297"/>
      <c r="J125" s="26"/>
      <c r="K125" s="7"/>
      <c r="L125" s="7"/>
      <c r="M125" s="7"/>
      <c r="N125" s="7"/>
      <c r="O125" s="121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</row>
    <row r="126" spans="2:27" x14ac:dyDescent="0.2">
      <c r="B126" s="295"/>
      <c r="C126" s="295"/>
      <c r="D126" s="22"/>
      <c r="E126" s="23"/>
      <c r="F126" s="296"/>
      <c r="G126" s="296"/>
      <c r="H126" s="297"/>
      <c r="I126" s="297"/>
      <c r="J126" s="26"/>
      <c r="K126" s="7"/>
      <c r="L126" s="7"/>
      <c r="M126" s="7"/>
      <c r="N126" s="7"/>
      <c r="O126" s="121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</row>
    <row r="127" spans="2:27" x14ac:dyDescent="0.2">
      <c r="B127" s="295"/>
      <c r="C127" s="295"/>
      <c r="D127" s="22"/>
      <c r="E127" s="23"/>
      <c r="F127" s="296"/>
      <c r="G127" s="296"/>
      <c r="H127" s="297"/>
      <c r="I127" s="297"/>
      <c r="J127" s="26"/>
      <c r="K127" s="7"/>
      <c r="L127" s="7"/>
      <c r="M127" s="7"/>
      <c r="N127" s="7"/>
      <c r="O127" s="121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</row>
    <row r="128" spans="2:27" x14ac:dyDescent="0.2">
      <c r="B128" s="295"/>
      <c r="C128" s="295"/>
      <c r="D128" s="22"/>
      <c r="E128" s="23"/>
      <c r="F128" s="296"/>
      <c r="G128" s="296"/>
      <c r="H128" s="297"/>
      <c r="I128" s="297"/>
      <c r="J128" s="26"/>
      <c r="K128" s="7"/>
      <c r="L128" s="7"/>
      <c r="M128" s="7"/>
      <c r="N128" s="7"/>
      <c r="O128" s="121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</row>
    <row r="129" spans="2:27" x14ac:dyDescent="0.2">
      <c r="B129" s="295"/>
      <c r="C129" s="295"/>
      <c r="D129" s="22"/>
      <c r="E129" s="23"/>
      <c r="F129" s="296"/>
      <c r="G129" s="296"/>
      <c r="H129" s="297"/>
      <c r="I129" s="297"/>
      <c r="J129" s="26"/>
      <c r="K129" s="7"/>
      <c r="L129" s="7"/>
      <c r="M129" s="7"/>
      <c r="N129" s="7"/>
      <c r="O129" s="121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</row>
    <row r="130" spans="2:27" x14ac:dyDescent="0.2">
      <c r="B130" s="295"/>
      <c r="C130" s="295"/>
      <c r="D130" s="22"/>
      <c r="E130" s="23"/>
      <c r="F130" s="296"/>
      <c r="G130" s="296"/>
      <c r="H130" s="297"/>
      <c r="I130" s="297"/>
      <c r="J130" s="26"/>
      <c r="K130" s="7"/>
      <c r="L130" s="7"/>
      <c r="M130" s="7"/>
      <c r="N130" s="7"/>
      <c r="O130" s="121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</row>
    <row r="131" spans="2:27" x14ac:dyDescent="0.2">
      <c r="B131" s="295"/>
      <c r="C131" s="295"/>
      <c r="D131" s="22"/>
      <c r="E131" s="23"/>
      <c r="F131" s="296"/>
      <c r="G131" s="296"/>
      <c r="H131" s="297"/>
      <c r="I131" s="297"/>
      <c r="J131" s="26"/>
      <c r="K131" s="7"/>
      <c r="L131" s="7"/>
      <c r="M131" s="7"/>
      <c r="N131" s="7"/>
      <c r="O131" s="121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</row>
    <row r="132" spans="2:27" x14ac:dyDescent="0.2">
      <c r="B132" s="295"/>
      <c r="C132" s="295"/>
      <c r="D132" s="22"/>
      <c r="E132" s="23"/>
      <c r="F132" s="296"/>
      <c r="G132" s="296"/>
      <c r="H132" s="297"/>
      <c r="I132" s="297"/>
      <c r="J132" s="26"/>
      <c r="K132" s="7"/>
      <c r="L132" s="7"/>
      <c r="M132" s="7"/>
      <c r="N132" s="7"/>
      <c r="O132" s="121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</row>
    <row r="133" spans="2:27" x14ac:dyDescent="0.2">
      <c r="B133" s="295"/>
      <c r="C133" s="295"/>
      <c r="D133" s="22"/>
      <c r="E133" s="23"/>
      <c r="F133" s="296"/>
      <c r="G133" s="296"/>
      <c r="H133" s="297"/>
      <c r="I133" s="297"/>
      <c r="J133" s="26"/>
      <c r="K133" s="7"/>
      <c r="L133" s="7"/>
      <c r="M133" s="7"/>
      <c r="N133" s="7"/>
      <c r="O133" s="121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</row>
    <row r="134" spans="2:27" x14ac:dyDescent="0.2">
      <c r="B134" s="295"/>
      <c r="C134" s="295"/>
      <c r="D134" s="22"/>
      <c r="E134" s="23"/>
      <c r="F134" s="296"/>
      <c r="G134" s="296"/>
      <c r="H134" s="297"/>
      <c r="I134" s="297"/>
      <c r="J134" s="26"/>
      <c r="K134" s="7"/>
      <c r="L134" s="7"/>
      <c r="M134" s="7"/>
      <c r="N134" s="7"/>
      <c r="O134" s="121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</row>
    <row r="135" spans="2:27" x14ac:dyDescent="0.2">
      <c r="B135" s="295"/>
      <c r="C135" s="295"/>
      <c r="D135" s="22"/>
      <c r="E135" s="23"/>
      <c r="F135" s="296"/>
      <c r="G135" s="296"/>
      <c r="H135" s="297"/>
      <c r="I135" s="297"/>
      <c r="J135" s="26"/>
      <c r="K135" s="7"/>
      <c r="L135" s="7"/>
      <c r="M135" s="7"/>
      <c r="N135" s="7"/>
      <c r="O135" s="121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</row>
    <row r="136" spans="2:27" x14ac:dyDescent="0.2">
      <c r="B136" s="295"/>
      <c r="C136" s="295"/>
      <c r="D136" s="22"/>
      <c r="E136" s="23"/>
      <c r="F136" s="296"/>
      <c r="G136" s="296"/>
      <c r="H136" s="297"/>
      <c r="I136" s="297"/>
      <c r="J136" s="26"/>
      <c r="K136" s="7"/>
      <c r="L136" s="7"/>
      <c r="M136" s="7"/>
      <c r="N136" s="7"/>
      <c r="O136" s="121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</row>
    <row r="137" spans="2:27" x14ac:dyDescent="0.2">
      <c r="B137" s="295"/>
      <c r="C137" s="295"/>
      <c r="D137" s="22"/>
      <c r="E137" s="23"/>
      <c r="F137" s="296"/>
      <c r="G137" s="296"/>
      <c r="H137" s="297"/>
      <c r="I137" s="297"/>
      <c r="J137" s="26"/>
      <c r="K137" s="7"/>
      <c r="L137" s="7"/>
      <c r="M137" s="7"/>
      <c r="N137" s="7"/>
      <c r="O137" s="121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</row>
    <row r="138" spans="2:27" x14ac:dyDescent="0.2">
      <c r="B138" s="295"/>
      <c r="C138" s="295"/>
      <c r="D138" s="22"/>
      <c r="E138" s="23"/>
      <c r="F138" s="296"/>
      <c r="G138" s="296"/>
      <c r="H138" s="297"/>
      <c r="I138" s="297"/>
      <c r="J138" s="26"/>
      <c r="K138" s="7"/>
      <c r="L138" s="7"/>
      <c r="M138" s="7"/>
      <c r="N138" s="7"/>
      <c r="O138" s="121"/>
      <c r="R138" s="117"/>
      <c r="S138" s="117"/>
      <c r="AA138" s="117"/>
    </row>
    <row r="139" spans="2:27" x14ac:dyDescent="0.2">
      <c r="B139" s="295"/>
      <c r="C139" s="295"/>
      <c r="D139" s="22"/>
      <c r="E139" s="23"/>
      <c r="F139" s="296"/>
      <c r="G139" s="296"/>
      <c r="H139" s="297"/>
      <c r="I139" s="297"/>
      <c r="J139" s="26"/>
      <c r="K139" s="7"/>
      <c r="L139" s="7"/>
      <c r="M139" s="7"/>
      <c r="N139" s="7"/>
      <c r="O139" s="121"/>
      <c r="R139" s="117"/>
      <c r="S139" s="117"/>
      <c r="AA139" s="117"/>
    </row>
    <row r="140" spans="2:27" x14ac:dyDescent="0.2">
      <c r="B140" s="295"/>
      <c r="C140" s="295"/>
      <c r="D140" s="22"/>
      <c r="E140" s="23"/>
      <c r="F140" s="296"/>
      <c r="G140" s="296"/>
      <c r="H140" s="297"/>
      <c r="I140" s="297"/>
      <c r="J140" s="26"/>
      <c r="K140" s="7"/>
      <c r="L140" s="7"/>
      <c r="M140" s="7"/>
      <c r="N140" s="7"/>
      <c r="O140" s="121"/>
      <c r="R140" s="117"/>
      <c r="S140" s="117"/>
      <c r="AA140" s="117"/>
    </row>
    <row r="141" spans="2:27" x14ac:dyDescent="0.2">
      <c r="B141" s="295"/>
      <c r="C141" s="295"/>
      <c r="D141" s="22"/>
      <c r="E141" s="23"/>
      <c r="F141" s="296"/>
      <c r="G141" s="296"/>
      <c r="H141" s="297"/>
      <c r="I141" s="297"/>
      <c r="J141" s="26"/>
      <c r="K141" s="7"/>
      <c r="L141" s="7"/>
      <c r="M141" s="7"/>
      <c r="N141" s="7"/>
      <c r="O141" s="121"/>
      <c r="R141" s="117"/>
      <c r="S141" s="117"/>
      <c r="AA141" s="117"/>
    </row>
    <row r="142" spans="2:27" x14ac:dyDescent="0.2">
      <c r="B142" s="295"/>
      <c r="C142" s="295"/>
      <c r="D142" s="22"/>
      <c r="E142" s="23"/>
      <c r="F142" s="296"/>
      <c r="G142" s="296"/>
      <c r="H142" s="297"/>
      <c r="I142" s="297"/>
      <c r="J142" s="26"/>
      <c r="K142" s="7"/>
      <c r="L142" s="7"/>
      <c r="M142" s="7"/>
      <c r="N142" s="7"/>
      <c r="O142" s="121"/>
      <c r="R142" s="117"/>
      <c r="S142" s="117"/>
      <c r="AA142" s="117"/>
    </row>
    <row r="143" spans="2:27" x14ac:dyDescent="0.2">
      <c r="B143" s="295"/>
      <c r="C143" s="295"/>
      <c r="D143" s="22"/>
      <c r="E143" s="23"/>
      <c r="F143" s="296"/>
      <c r="G143" s="296"/>
      <c r="H143" s="297"/>
      <c r="I143" s="297"/>
      <c r="R143" s="117"/>
      <c r="S143" s="117"/>
      <c r="AA143" s="117"/>
    </row>
    <row r="144" spans="2:27" x14ac:dyDescent="0.2">
      <c r="B144" s="295"/>
      <c r="C144" s="295"/>
      <c r="D144" s="22"/>
      <c r="E144" s="23"/>
      <c r="F144" s="296"/>
      <c r="G144" s="296"/>
      <c r="H144" s="297"/>
      <c r="I144" s="297"/>
    </row>
    <row r="145" spans="1:108" x14ac:dyDescent="0.2">
      <c r="B145" s="295"/>
      <c r="C145" s="295"/>
      <c r="D145" s="22"/>
      <c r="E145" s="23"/>
      <c r="F145" s="296"/>
      <c r="G145" s="296"/>
      <c r="H145" s="297"/>
      <c r="I145" s="297"/>
    </row>
    <row r="146" spans="1:108" s="13" customFormat="1" x14ac:dyDescent="0.2">
      <c r="A146" s="21"/>
      <c r="B146" s="295"/>
      <c r="C146" s="295"/>
      <c r="D146" s="22"/>
      <c r="E146" s="23"/>
      <c r="F146" s="296"/>
      <c r="G146" s="296"/>
      <c r="H146" s="297"/>
      <c r="I146" s="297"/>
      <c r="J146" s="28"/>
      <c r="O146" s="156"/>
      <c r="P146" s="156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56"/>
      <c r="AL146" s="156"/>
      <c r="AM146" s="156"/>
      <c r="AN146" s="156"/>
      <c r="AO146" s="15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</row>
  </sheetData>
  <sheetProtection algorithmName="SHA-512" hashValue="avcge5s4gawAKdSZgy97i9wFLqejUrxkWlj8s3kfmfx+5wXXT4JUSmONINf0/ohA4I52NloxvDceh1m1XrywjA==" saltValue="my1XkiBJVKHwTS408ubmQA==" spinCount="100000" sheet="1" objects="1" scenarios="1"/>
  <customSheetViews>
    <customSheetView guid="{4C1579FF-9512-4037-BEB2-F3CE00C3060A}" scale="90" showPageBreaks="1" printArea="1" hiddenColumns="1" view="pageBreakPreview">
      <selection activeCell="B25" sqref="B25:I26"/>
      <colBreaks count="1" manualBreakCount="1">
        <brk id="59" max="1048575" man="1"/>
      </colBreaks>
      <pageMargins left="0.39370078740157483" right="0.35433070866141736" top="0.59055118110236227" bottom="0.59055118110236227" header="0.51181102362204722" footer="0.51181102362204722"/>
      <pageSetup paperSize="9" scale="35" firstPageNumber="2" orientation="landscape" r:id="rId1"/>
      <headerFooter alignWithMargins="0"/>
    </customSheetView>
  </customSheetViews>
  <mergeCells count="624">
    <mergeCell ref="L21:M22"/>
    <mergeCell ref="N21:N22"/>
    <mergeCell ref="AI90:AJ90"/>
    <mergeCell ref="AC87:AD87"/>
    <mergeCell ref="AC88:AD88"/>
    <mergeCell ref="AG88:AH88"/>
    <mergeCell ref="AC89:AD89"/>
    <mergeCell ref="AG89:AH89"/>
    <mergeCell ref="AI89:AJ89"/>
    <mergeCell ref="AG90:AH90"/>
    <mergeCell ref="AG85:AH85"/>
    <mergeCell ref="AI85:AJ85"/>
    <mergeCell ref="AI88:AJ88"/>
    <mergeCell ref="AI87:AJ87"/>
    <mergeCell ref="AG87:AH87"/>
    <mergeCell ref="AG66:AH66"/>
    <mergeCell ref="AI66:AJ66"/>
    <mergeCell ref="AG65:AH65"/>
    <mergeCell ref="AI65:AJ65"/>
    <mergeCell ref="AG67:AH67"/>
    <mergeCell ref="AI67:AJ67"/>
    <mergeCell ref="AG68:AH68"/>
    <mergeCell ref="AI80:AJ80"/>
    <mergeCell ref="AI76:AJ76"/>
    <mergeCell ref="AI78:AJ78"/>
    <mergeCell ref="AG77:AH77"/>
    <mergeCell ref="AI77:AJ77"/>
    <mergeCell ref="AG76:AH76"/>
    <mergeCell ref="AI79:AJ79"/>
    <mergeCell ref="AG75:AH75"/>
    <mergeCell ref="AI75:AJ75"/>
    <mergeCell ref="AG74:AH74"/>
    <mergeCell ref="AI74:AJ74"/>
    <mergeCell ref="AI73:AJ73"/>
    <mergeCell ref="AI70:AJ70"/>
    <mergeCell ref="AG69:AH69"/>
    <mergeCell ref="AI69:AJ69"/>
    <mergeCell ref="AI71:AJ71"/>
    <mergeCell ref="AI72:AJ72"/>
    <mergeCell ref="B142:C142"/>
    <mergeCell ref="F142:G142"/>
    <mergeCell ref="H142:I142"/>
    <mergeCell ref="B138:C138"/>
    <mergeCell ref="F138:G138"/>
    <mergeCell ref="H138:I138"/>
    <mergeCell ref="B141:C141"/>
    <mergeCell ref="B139:C139"/>
    <mergeCell ref="F139:G139"/>
    <mergeCell ref="H139:I139"/>
    <mergeCell ref="B140:C140"/>
    <mergeCell ref="F140:G140"/>
    <mergeCell ref="H140:I140"/>
    <mergeCell ref="F141:G141"/>
    <mergeCell ref="H141:I141"/>
    <mergeCell ref="B135:C135"/>
    <mergeCell ref="F135:G135"/>
    <mergeCell ref="AG78:AH78"/>
    <mergeCell ref="B143:C143"/>
    <mergeCell ref="F143:G143"/>
    <mergeCell ref="H143:I143"/>
    <mergeCell ref="B146:C146"/>
    <mergeCell ref="F146:G146"/>
    <mergeCell ref="H146:I146"/>
    <mergeCell ref="B144:C144"/>
    <mergeCell ref="B145:C145"/>
    <mergeCell ref="F145:G145"/>
    <mergeCell ref="H145:I145"/>
    <mergeCell ref="F144:G144"/>
    <mergeCell ref="H144:I144"/>
    <mergeCell ref="H135:I135"/>
    <mergeCell ref="B136:C136"/>
    <mergeCell ref="F136:G136"/>
    <mergeCell ref="H136:I136"/>
    <mergeCell ref="B137:C137"/>
    <mergeCell ref="F137:G137"/>
    <mergeCell ref="H137:I137"/>
    <mergeCell ref="B132:C132"/>
    <mergeCell ref="F132:G132"/>
    <mergeCell ref="H132:I132"/>
    <mergeCell ref="B133:C133"/>
    <mergeCell ref="F133:G133"/>
    <mergeCell ref="H133:I133"/>
    <mergeCell ref="B134:C134"/>
    <mergeCell ref="F134:G134"/>
    <mergeCell ref="H134:I134"/>
    <mergeCell ref="B129:C129"/>
    <mergeCell ref="F129:G129"/>
    <mergeCell ref="H129:I129"/>
    <mergeCell ref="B130:C130"/>
    <mergeCell ref="F130:G130"/>
    <mergeCell ref="H130:I130"/>
    <mergeCell ref="B131:C131"/>
    <mergeCell ref="F131:G131"/>
    <mergeCell ref="H131:I131"/>
    <mergeCell ref="B126:C126"/>
    <mergeCell ref="F126:G126"/>
    <mergeCell ref="H126:I126"/>
    <mergeCell ref="B127:C127"/>
    <mergeCell ref="F127:G127"/>
    <mergeCell ref="H127:I127"/>
    <mergeCell ref="B128:C128"/>
    <mergeCell ref="F128:G128"/>
    <mergeCell ref="H128:I128"/>
    <mergeCell ref="B123:C123"/>
    <mergeCell ref="F123:G123"/>
    <mergeCell ref="H123:I123"/>
    <mergeCell ref="B124:C124"/>
    <mergeCell ref="F124:G124"/>
    <mergeCell ref="H124:I124"/>
    <mergeCell ref="B125:C125"/>
    <mergeCell ref="F125:G125"/>
    <mergeCell ref="H125:I125"/>
    <mergeCell ref="B120:C120"/>
    <mergeCell ref="F120:G120"/>
    <mergeCell ref="H120:I120"/>
    <mergeCell ref="B121:C121"/>
    <mergeCell ref="F121:G121"/>
    <mergeCell ref="H121:I121"/>
    <mergeCell ref="B122:C122"/>
    <mergeCell ref="F122:G122"/>
    <mergeCell ref="H122:I122"/>
    <mergeCell ref="B117:C117"/>
    <mergeCell ref="F117:G117"/>
    <mergeCell ref="H117:I117"/>
    <mergeCell ref="B118:C118"/>
    <mergeCell ref="F118:G118"/>
    <mergeCell ref="H118:I118"/>
    <mergeCell ref="B119:C119"/>
    <mergeCell ref="F119:G119"/>
    <mergeCell ref="H119:I119"/>
    <mergeCell ref="B114:C114"/>
    <mergeCell ref="F114:G114"/>
    <mergeCell ref="H114:I114"/>
    <mergeCell ref="B115:C115"/>
    <mergeCell ref="F115:G115"/>
    <mergeCell ref="H115:I115"/>
    <mergeCell ref="B116:C116"/>
    <mergeCell ref="F116:G116"/>
    <mergeCell ref="H116:I116"/>
    <mergeCell ref="B111:C111"/>
    <mergeCell ref="F111:G111"/>
    <mergeCell ref="H111:I111"/>
    <mergeCell ref="B112:C112"/>
    <mergeCell ref="F112:G112"/>
    <mergeCell ref="H112:I112"/>
    <mergeCell ref="B113:C113"/>
    <mergeCell ref="F113:G113"/>
    <mergeCell ref="H113:I113"/>
    <mergeCell ref="B108:C108"/>
    <mergeCell ref="F108:G108"/>
    <mergeCell ref="H108:I108"/>
    <mergeCell ref="B109:C109"/>
    <mergeCell ref="F109:G109"/>
    <mergeCell ref="H109:I109"/>
    <mergeCell ref="B110:C110"/>
    <mergeCell ref="F110:G110"/>
    <mergeCell ref="H110:I110"/>
    <mergeCell ref="B105:C105"/>
    <mergeCell ref="F105:G105"/>
    <mergeCell ref="H105:I105"/>
    <mergeCell ref="B106:C106"/>
    <mergeCell ref="F106:G106"/>
    <mergeCell ref="H106:I106"/>
    <mergeCell ref="B107:C107"/>
    <mergeCell ref="F107:G107"/>
    <mergeCell ref="H107:I107"/>
    <mergeCell ref="B102:C102"/>
    <mergeCell ref="F102:G102"/>
    <mergeCell ref="H102:I102"/>
    <mergeCell ref="B103:C103"/>
    <mergeCell ref="F103:G103"/>
    <mergeCell ref="H103:I103"/>
    <mergeCell ref="B104:C104"/>
    <mergeCell ref="F104:G104"/>
    <mergeCell ref="H104:I104"/>
    <mergeCell ref="B99:C99"/>
    <mergeCell ref="F99:G99"/>
    <mergeCell ref="H99:I99"/>
    <mergeCell ref="B100:C100"/>
    <mergeCell ref="F100:G100"/>
    <mergeCell ref="H100:I100"/>
    <mergeCell ref="B101:C101"/>
    <mergeCell ref="F101:G101"/>
    <mergeCell ref="H101:I101"/>
    <mergeCell ref="B96:C96"/>
    <mergeCell ref="F96:G96"/>
    <mergeCell ref="H96:I96"/>
    <mergeCell ref="B97:C97"/>
    <mergeCell ref="F97:G97"/>
    <mergeCell ref="H97:I97"/>
    <mergeCell ref="B98:C98"/>
    <mergeCell ref="F98:G98"/>
    <mergeCell ref="H98:I98"/>
    <mergeCell ref="B93:C93"/>
    <mergeCell ref="F93:G93"/>
    <mergeCell ref="H93:I93"/>
    <mergeCell ref="B94:C94"/>
    <mergeCell ref="F94:G94"/>
    <mergeCell ref="H94:I94"/>
    <mergeCell ref="B95:C95"/>
    <mergeCell ref="F95:G95"/>
    <mergeCell ref="H95:I95"/>
    <mergeCell ref="F90:G90"/>
    <mergeCell ref="H90:I90"/>
    <mergeCell ref="AC90:AD90"/>
    <mergeCell ref="B90:C90"/>
    <mergeCell ref="B92:C92"/>
    <mergeCell ref="F92:G92"/>
    <mergeCell ref="H92:I92"/>
    <mergeCell ref="B91:C91"/>
    <mergeCell ref="F91:G91"/>
    <mergeCell ref="H91:I91"/>
    <mergeCell ref="H87:I87"/>
    <mergeCell ref="B84:C84"/>
    <mergeCell ref="F84:G84"/>
    <mergeCell ref="H84:I84"/>
    <mergeCell ref="AC86:AD86"/>
    <mergeCell ref="B88:C88"/>
    <mergeCell ref="F88:G88"/>
    <mergeCell ref="H88:I88"/>
    <mergeCell ref="B89:C89"/>
    <mergeCell ref="B85:C85"/>
    <mergeCell ref="F85:G85"/>
    <mergeCell ref="H85:I85"/>
    <mergeCell ref="B87:C87"/>
    <mergeCell ref="F87:G87"/>
    <mergeCell ref="B86:C86"/>
    <mergeCell ref="F89:G89"/>
    <mergeCell ref="H89:I89"/>
    <mergeCell ref="AC84:AD84"/>
    <mergeCell ref="B83:C83"/>
    <mergeCell ref="F83:G83"/>
    <mergeCell ref="H83:I83"/>
    <mergeCell ref="AC83:AD83"/>
    <mergeCell ref="F86:G86"/>
    <mergeCell ref="H86:I86"/>
    <mergeCell ref="AG86:AH86"/>
    <mergeCell ref="AC85:AD85"/>
    <mergeCell ref="AI86:AJ86"/>
    <mergeCell ref="AG84:AH84"/>
    <mergeCell ref="AI84:AJ84"/>
    <mergeCell ref="AG83:AH83"/>
    <mergeCell ref="AI83:AJ83"/>
    <mergeCell ref="B81:C81"/>
    <mergeCell ref="F81:G81"/>
    <mergeCell ref="H81:I81"/>
    <mergeCell ref="AC81:AD81"/>
    <mergeCell ref="AG81:AH81"/>
    <mergeCell ref="AI81:AJ81"/>
    <mergeCell ref="B82:C82"/>
    <mergeCell ref="F82:G82"/>
    <mergeCell ref="H82:I82"/>
    <mergeCell ref="AC82:AD82"/>
    <mergeCell ref="AG82:AH82"/>
    <mergeCell ref="AI82:AJ82"/>
    <mergeCell ref="B79:C79"/>
    <mergeCell ref="F79:G79"/>
    <mergeCell ref="H79:I79"/>
    <mergeCell ref="AC79:AD79"/>
    <mergeCell ref="B80:C80"/>
    <mergeCell ref="F80:G80"/>
    <mergeCell ref="H80:I80"/>
    <mergeCell ref="AC80:AD80"/>
    <mergeCell ref="AG80:AH80"/>
    <mergeCell ref="AG79:AH79"/>
    <mergeCell ref="B77:C77"/>
    <mergeCell ref="F77:G77"/>
    <mergeCell ref="H77:I77"/>
    <mergeCell ref="AC77:AD77"/>
    <mergeCell ref="B78:C78"/>
    <mergeCell ref="F78:G78"/>
    <mergeCell ref="H78:I78"/>
    <mergeCell ref="AC78:AD78"/>
    <mergeCell ref="B75:C75"/>
    <mergeCell ref="F75:G75"/>
    <mergeCell ref="H75:I75"/>
    <mergeCell ref="AC75:AD75"/>
    <mergeCell ref="B76:C76"/>
    <mergeCell ref="F76:G76"/>
    <mergeCell ref="H76:I76"/>
    <mergeCell ref="AC76:AD76"/>
    <mergeCell ref="B74:C74"/>
    <mergeCell ref="F74:G74"/>
    <mergeCell ref="H74:I74"/>
    <mergeCell ref="AC74:AD74"/>
    <mergeCell ref="AG70:AH70"/>
    <mergeCell ref="B72:C72"/>
    <mergeCell ref="F72:G72"/>
    <mergeCell ref="H72:I72"/>
    <mergeCell ref="AC72:AD72"/>
    <mergeCell ref="AG72:AH72"/>
    <mergeCell ref="AG71:AH71"/>
    <mergeCell ref="B71:C71"/>
    <mergeCell ref="F71:G71"/>
    <mergeCell ref="H71:I71"/>
    <mergeCell ref="AC71:AD71"/>
    <mergeCell ref="B73:C73"/>
    <mergeCell ref="F73:G73"/>
    <mergeCell ref="H73:I73"/>
    <mergeCell ref="AC73:AD73"/>
    <mergeCell ref="AG73:AH73"/>
    <mergeCell ref="H68:I68"/>
    <mergeCell ref="AC68:AD68"/>
    <mergeCell ref="B69:C69"/>
    <mergeCell ref="F69:G69"/>
    <mergeCell ref="H69:I69"/>
    <mergeCell ref="AC69:AD69"/>
    <mergeCell ref="B70:C70"/>
    <mergeCell ref="F70:G70"/>
    <mergeCell ref="H70:I70"/>
    <mergeCell ref="AC70:AD70"/>
    <mergeCell ref="F65:G65"/>
    <mergeCell ref="AC65:AD65"/>
    <mergeCell ref="B66:C66"/>
    <mergeCell ref="F66:G66"/>
    <mergeCell ref="H66:I66"/>
    <mergeCell ref="AC66:AD66"/>
    <mergeCell ref="B67:C67"/>
    <mergeCell ref="F67:G67"/>
    <mergeCell ref="H67:I67"/>
    <mergeCell ref="AC67:AD67"/>
    <mergeCell ref="AI68:AJ68"/>
    <mergeCell ref="AG62:AH62"/>
    <mergeCell ref="AI62:AJ62"/>
    <mergeCell ref="AG61:AH61"/>
    <mergeCell ref="AI61:AJ61"/>
    <mergeCell ref="B64:C64"/>
    <mergeCell ref="F64:G64"/>
    <mergeCell ref="B61:C61"/>
    <mergeCell ref="F61:G61"/>
    <mergeCell ref="AC61:AD61"/>
    <mergeCell ref="B62:C62"/>
    <mergeCell ref="F62:G62"/>
    <mergeCell ref="AC62:AD62"/>
    <mergeCell ref="AG63:AH63"/>
    <mergeCell ref="AI63:AJ63"/>
    <mergeCell ref="B63:C63"/>
    <mergeCell ref="F63:G63"/>
    <mergeCell ref="AC63:AD63"/>
    <mergeCell ref="AC64:AD64"/>
    <mergeCell ref="AG64:AH64"/>
    <mergeCell ref="AI64:AJ64"/>
    <mergeCell ref="B68:C68"/>
    <mergeCell ref="F68:G68"/>
    <mergeCell ref="B65:C65"/>
    <mergeCell ref="AG58:AH58"/>
    <mergeCell ref="AI58:AJ58"/>
    <mergeCell ref="AG57:AH57"/>
    <mergeCell ref="AI57:AJ57"/>
    <mergeCell ref="B60:C60"/>
    <mergeCell ref="F60:G60"/>
    <mergeCell ref="B57:C57"/>
    <mergeCell ref="F57:G57"/>
    <mergeCell ref="AC57:AD57"/>
    <mergeCell ref="B58:C58"/>
    <mergeCell ref="F58:G58"/>
    <mergeCell ref="AC58:AD58"/>
    <mergeCell ref="AG59:AH59"/>
    <mergeCell ref="AI59:AJ59"/>
    <mergeCell ref="B59:C59"/>
    <mergeCell ref="F59:G59"/>
    <mergeCell ref="AC59:AD59"/>
    <mergeCell ref="AC60:AD60"/>
    <mergeCell ref="AG60:AH60"/>
    <mergeCell ref="AI60:AJ60"/>
    <mergeCell ref="AG54:AH54"/>
    <mergeCell ref="AI54:AJ54"/>
    <mergeCell ref="AG53:AH53"/>
    <mergeCell ref="AI53:AJ53"/>
    <mergeCell ref="B56:C56"/>
    <mergeCell ref="F56:G56"/>
    <mergeCell ref="B53:C53"/>
    <mergeCell ref="F53:G53"/>
    <mergeCell ref="AC53:AD53"/>
    <mergeCell ref="B54:C54"/>
    <mergeCell ref="F54:G54"/>
    <mergeCell ref="AC54:AD54"/>
    <mergeCell ref="AG55:AH55"/>
    <mergeCell ref="AI55:AJ55"/>
    <mergeCell ref="B55:C55"/>
    <mergeCell ref="F55:G55"/>
    <mergeCell ref="AC55:AD55"/>
    <mergeCell ref="AC56:AD56"/>
    <mergeCell ref="AG56:AH56"/>
    <mergeCell ref="AI56:AJ56"/>
    <mergeCell ref="B52:C52"/>
    <mergeCell ref="F52:G52"/>
    <mergeCell ref="B49:C49"/>
    <mergeCell ref="F49:G49"/>
    <mergeCell ref="AC49:AD49"/>
    <mergeCell ref="B50:C50"/>
    <mergeCell ref="F50:G50"/>
    <mergeCell ref="AG51:AH51"/>
    <mergeCell ref="AI51:AJ51"/>
    <mergeCell ref="B51:C51"/>
    <mergeCell ref="F51:G51"/>
    <mergeCell ref="AC51:AD51"/>
    <mergeCell ref="AC52:AD52"/>
    <mergeCell ref="AG52:AH52"/>
    <mergeCell ref="AI52:AJ52"/>
    <mergeCell ref="AG49:AH49"/>
    <mergeCell ref="AI49:AJ49"/>
    <mergeCell ref="AG47:AH47"/>
    <mergeCell ref="AI47:AJ47"/>
    <mergeCell ref="AG50:AH50"/>
    <mergeCell ref="AI50:AJ50"/>
    <mergeCell ref="AC50:AD50"/>
    <mergeCell ref="B48:C48"/>
    <mergeCell ref="F48:G48"/>
    <mergeCell ref="AC48:AD48"/>
    <mergeCell ref="B46:C46"/>
    <mergeCell ref="F46:G46"/>
    <mergeCell ref="AC46:AD46"/>
    <mergeCell ref="B47:C47"/>
    <mergeCell ref="F47:G47"/>
    <mergeCell ref="AC47:AD47"/>
    <mergeCell ref="AI46:AJ46"/>
    <mergeCell ref="AG46:AH46"/>
    <mergeCell ref="AG48:AH48"/>
    <mergeCell ref="AI48:AJ48"/>
    <mergeCell ref="AG45:AH45"/>
    <mergeCell ref="AI45:AJ45"/>
    <mergeCell ref="AG43:AH43"/>
    <mergeCell ref="AI43:AJ43"/>
    <mergeCell ref="AC44:AD44"/>
    <mergeCell ref="AG44:AH44"/>
    <mergeCell ref="B45:C45"/>
    <mergeCell ref="F45:G45"/>
    <mergeCell ref="AC45:AD45"/>
    <mergeCell ref="B43:C43"/>
    <mergeCell ref="F43:G43"/>
    <mergeCell ref="AC43:AD43"/>
    <mergeCell ref="AG42:AH42"/>
    <mergeCell ref="B44:C44"/>
    <mergeCell ref="F44:G44"/>
    <mergeCell ref="AI42:AJ42"/>
    <mergeCell ref="B41:C41"/>
    <mergeCell ref="F41:G41"/>
    <mergeCell ref="AC41:AD41"/>
    <mergeCell ref="B42:C42"/>
    <mergeCell ref="F42:G42"/>
    <mergeCell ref="AC42:AD42"/>
    <mergeCell ref="AI44:AJ44"/>
    <mergeCell ref="AC38:AD38"/>
    <mergeCell ref="B38:C38"/>
    <mergeCell ref="F38:G38"/>
    <mergeCell ref="B37:C37"/>
    <mergeCell ref="AC35:AD35"/>
    <mergeCell ref="AI40:AJ40"/>
    <mergeCell ref="AG41:AH41"/>
    <mergeCell ref="AI41:AJ41"/>
    <mergeCell ref="AG38:AH38"/>
    <mergeCell ref="B39:C39"/>
    <mergeCell ref="F39:G39"/>
    <mergeCell ref="AC39:AD39"/>
    <mergeCell ref="AG40:AH40"/>
    <mergeCell ref="AG39:AH39"/>
    <mergeCell ref="AI39:AJ39"/>
    <mergeCell ref="B40:C40"/>
    <mergeCell ref="F40:G40"/>
    <mergeCell ref="AC40:AD40"/>
    <mergeCell ref="AI36:AJ36"/>
    <mergeCell ref="AI38:AJ38"/>
    <mergeCell ref="AI37:AJ37"/>
    <mergeCell ref="AG35:AH35"/>
    <mergeCell ref="AG37:AH37"/>
    <mergeCell ref="AG36:AH36"/>
    <mergeCell ref="AI5:AJ5"/>
    <mergeCell ref="F33:G33"/>
    <mergeCell ref="AG31:AH31"/>
    <mergeCell ref="AG32:AH32"/>
    <mergeCell ref="AG33:AH33"/>
    <mergeCell ref="AC31:AD31"/>
    <mergeCell ref="AC33:AD33"/>
    <mergeCell ref="H33:I33"/>
    <mergeCell ref="F31:G31"/>
    <mergeCell ref="H31:I31"/>
    <mergeCell ref="AC32:AD32"/>
    <mergeCell ref="AC27:AD27"/>
    <mergeCell ref="AC12:AD12"/>
    <mergeCell ref="AG12:AH12"/>
    <mergeCell ref="AI19:AJ19"/>
    <mergeCell ref="AI12:AJ12"/>
    <mergeCell ref="AG14:AH14"/>
    <mergeCell ref="AC14:AD14"/>
    <mergeCell ref="AC11:AD11"/>
    <mergeCell ref="AG11:AH11"/>
    <mergeCell ref="AI11:AJ11"/>
    <mergeCell ref="AC26:AD26"/>
    <mergeCell ref="AI15:AJ15"/>
    <mergeCell ref="AI16:AJ16"/>
    <mergeCell ref="AI34:AJ34"/>
    <mergeCell ref="AI32:AJ32"/>
    <mergeCell ref="AI31:AJ31"/>
    <mergeCell ref="AI33:AJ33"/>
    <mergeCell ref="AG30:AH30"/>
    <mergeCell ref="AG17:AH17"/>
    <mergeCell ref="AC23:AD23"/>
    <mergeCell ref="AG23:AH23"/>
    <mergeCell ref="AG27:AH27"/>
    <mergeCell ref="AG24:AH24"/>
    <mergeCell ref="AI25:AJ25"/>
    <mergeCell ref="AG26:AH26"/>
    <mergeCell ref="AI23:AJ23"/>
    <mergeCell ref="AG22:AH22"/>
    <mergeCell ref="AC20:AD20"/>
    <mergeCell ref="AG20:AH20"/>
    <mergeCell ref="AI24:AJ24"/>
    <mergeCell ref="AC34:AD34"/>
    <mergeCell ref="AG34:AH34"/>
    <mergeCell ref="AC22:AD22"/>
    <mergeCell ref="AI22:AJ22"/>
    <mergeCell ref="AG21:AH21"/>
    <mergeCell ref="AI21:AJ21"/>
    <mergeCell ref="AC24:AD24"/>
    <mergeCell ref="AC13:AD13"/>
    <mergeCell ref="AC15:AD15"/>
    <mergeCell ref="E19:F19"/>
    <mergeCell ref="B19:D19"/>
    <mergeCell ref="AG15:AH15"/>
    <mergeCell ref="AG16:AH16"/>
    <mergeCell ref="AG13:AH13"/>
    <mergeCell ref="AI13:AJ13"/>
    <mergeCell ref="AI14:AJ14"/>
    <mergeCell ref="L18:M19"/>
    <mergeCell ref="N18:N19"/>
    <mergeCell ref="AI20:AJ20"/>
    <mergeCell ref="AC21:AD21"/>
    <mergeCell ref="AC17:AD17"/>
    <mergeCell ref="AI17:AJ17"/>
    <mergeCell ref="AI18:AJ18"/>
    <mergeCell ref="AG18:AH18"/>
    <mergeCell ref="AC18:AD18"/>
    <mergeCell ref="AC19:AD19"/>
    <mergeCell ref="AG19:AH19"/>
    <mergeCell ref="AC37:AD37"/>
    <mergeCell ref="AC36:AD36"/>
    <mergeCell ref="B28:C28"/>
    <mergeCell ref="F28:G28"/>
    <mergeCell ref="B29:C29"/>
    <mergeCell ref="F29:G29"/>
    <mergeCell ref="B32:C32"/>
    <mergeCell ref="F32:G32"/>
    <mergeCell ref="H32:I32"/>
    <mergeCell ref="B33:C33"/>
    <mergeCell ref="B34:C34"/>
    <mergeCell ref="F34:G34"/>
    <mergeCell ref="H34:I34"/>
    <mergeCell ref="B31:C31"/>
    <mergeCell ref="B35:C35"/>
    <mergeCell ref="F35:G35"/>
    <mergeCell ref="H35:I35"/>
    <mergeCell ref="B36:C36"/>
    <mergeCell ref="F36:G36"/>
    <mergeCell ref="F37:G37"/>
    <mergeCell ref="AI35:AJ35"/>
    <mergeCell ref="B30:C30"/>
    <mergeCell ref="F30:G30"/>
    <mergeCell ref="H30:I30"/>
    <mergeCell ref="AI30:AJ30"/>
    <mergeCell ref="AG28:AH28"/>
    <mergeCell ref="AC16:AD16"/>
    <mergeCell ref="AC30:AD30"/>
    <mergeCell ref="AI28:AJ28"/>
    <mergeCell ref="AI29:AJ29"/>
    <mergeCell ref="AC29:AD29"/>
    <mergeCell ref="AG29:AH29"/>
    <mergeCell ref="AC28:AD28"/>
    <mergeCell ref="H29:I29"/>
    <mergeCell ref="B25:C25"/>
    <mergeCell ref="H28:I28"/>
    <mergeCell ref="B27:C27"/>
    <mergeCell ref="F27:G27"/>
    <mergeCell ref="H27:I27"/>
    <mergeCell ref="B24:C24"/>
    <mergeCell ref="AI26:AJ26"/>
    <mergeCell ref="AC25:AD25"/>
    <mergeCell ref="AG25:AH25"/>
    <mergeCell ref="AI27:AJ27"/>
    <mergeCell ref="AI6:AJ6"/>
    <mergeCell ref="AC2:AJ2"/>
    <mergeCell ref="AC6:AD6"/>
    <mergeCell ref="AC5:AD5"/>
    <mergeCell ref="AG10:AH10"/>
    <mergeCell ref="AI8:AJ8"/>
    <mergeCell ref="AG9:AH9"/>
    <mergeCell ref="AI9:AJ9"/>
    <mergeCell ref="AG8:AH8"/>
    <mergeCell ref="AG6:AH6"/>
    <mergeCell ref="AC7:AD7"/>
    <mergeCell ref="AG7:AH7"/>
    <mergeCell ref="AC9:AD9"/>
    <mergeCell ref="AI10:AJ10"/>
    <mergeCell ref="AC10:AD10"/>
    <mergeCell ref="AI7:AJ7"/>
    <mergeCell ref="AC8:AD8"/>
    <mergeCell ref="AC3:AD3"/>
    <mergeCell ref="AG3:AH3"/>
    <mergeCell ref="AI3:AJ3"/>
    <mergeCell ref="AC4:AD4"/>
    <mergeCell ref="AG4:AH4"/>
    <mergeCell ref="AG5:AH5"/>
    <mergeCell ref="AI4:AJ4"/>
    <mergeCell ref="L8:M8"/>
    <mergeCell ref="L10:M10"/>
    <mergeCell ref="E14:F14"/>
    <mergeCell ref="B14:D14"/>
    <mergeCell ref="L2:M2"/>
    <mergeCell ref="L6:M6"/>
    <mergeCell ref="L4:M4"/>
    <mergeCell ref="B16:D17"/>
    <mergeCell ref="E16:F17"/>
    <mergeCell ref="E2:F2"/>
    <mergeCell ref="E6:F6"/>
    <mergeCell ref="B2:D2"/>
    <mergeCell ref="B4:F4"/>
    <mergeCell ref="B6:D6"/>
    <mergeCell ref="B8:D10"/>
    <mergeCell ref="E9:F9"/>
    <mergeCell ref="B12:D12"/>
    <mergeCell ref="E12:F12"/>
    <mergeCell ref="L12:M12"/>
    <mergeCell ref="L14:M14"/>
    <mergeCell ref="L16:M16"/>
  </mergeCells>
  <phoneticPr fontId="19" type="noConversion"/>
  <conditionalFormatting sqref="E14">
    <cfRule type="cellIs" dxfId="196" priority="82" stopIfTrue="1" operator="equal">
      <formula>0.001</formula>
    </cfRule>
  </conditionalFormatting>
  <conditionalFormatting sqref="U2">
    <cfRule type="cellIs" dxfId="195" priority="76" stopIfTrue="1" operator="equal">
      <formula>"Авансовий платіж достатній"</formula>
    </cfRule>
  </conditionalFormatting>
  <conditionalFormatting sqref="E9">
    <cfRule type="cellIs" dxfId="194" priority="46" stopIfTrue="1" operator="equal">
      <formula>0.001</formula>
    </cfRule>
  </conditionalFormatting>
  <conditionalFormatting sqref="X18">
    <cfRule type="cellIs" dxfId="193" priority="153" stopIfTrue="1" operator="equal">
      <formula>$B$4=$S$28</formula>
    </cfRule>
  </conditionalFormatting>
  <conditionalFormatting sqref="N4">
    <cfRule type="expression" dxfId="192" priority="18">
      <formula>$T$4=1</formula>
    </cfRule>
    <cfRule type="expression" dxfId="191" priority="22">
      <formula>$U$4=1</formula>
    </cfRule>
    <cfRule type="expression" dxfId="190" priority="42">
      <formula>$X$4=1</formula>
    </cfRule>
  </conditionalFormatting>
  <conditionalFormatting sqref="E19">
    <cfRule type="cellIs" dxfId="189" priority="40" stopIfTrue="1" operator="equal">
      <formula>0.001</formula>
    </cfRule>
  </conditionalFormatting>
  <conditionalFormatting sqref="B4">
    <cfRule type="expression" dxfId="188" priority="33" stopIfTrue="1">
      <formula>$U$4=0</formula>
    </cfRule>
  </conditionalFormatting>
  <conditionalFormatting sqref="E6:F6">
    <cfRule type="expression" dxfId="187" priority="32">
      <formula>$V$3=0</formula>
    </cfRule>
  </conditionalFormatting>
  <conditionalFormatting sqref="F8">
    <cfRule type="expression" dxfId="186" priority="30">
      <formula>$X$3=2</formula>
    </cfRule>
    <cfRule type="expression" dxfId="185" priority="31">
      <formula>$W$2=0</formula>
    </cfRule>
  </conditionalFormatting>
  <conditionalFormatting sqref="F10">
    <cfRule type="expression" dxfId="184" priority="28">
      <formula>$X$3=1</formula>
    </cfRule>
    <cfRule type="expression" dxfId="183" priority="29">
      <formula>$W$2=0</formula>
    </cfRule>
  </conditionalFormatting>
  <conditionalFormatting sqref="E12:F12">
    <cfRule type="expression" dxfId="182" priority="26">
      <formula>$X$3=3</formula>
    </cfRule>
    <cfRule type="expression" dxfId="181" priority="27">
      <formula>$X$3=0</formula>
    </cfRule>
  </conditionalFormatting>
  <conditionalFormatting sqref="B4:F4">
    <cfRule type="expression" dxfId="180" priority="12">
      <formula>$T$4=1</formula>
    </cfRule>
    <cfRule type="expression" dxfId="179" priority="23">
      <formula>$U$4=1</formula>
    </cfRule>
  </conditionalFormatting>
  <conditionalFormatting sqref="N10">
    <cfRule type="expression" dxfId="178" priority="16">
      <formula>$T$4=1</formula>
    </cfRule>
    <cfRule type="expression" dxfId="177" priority="20">
      <formula>$U$4=1</formula>
    </cfRule>
  </conditionalFormatting>
  <conditionalFormatting sqref="N12">
    <cfRule type="expression" dxfId="176" priority="15">
      <formula>$T$4=1</formula>
    </cfRule>
    <cfRule type="expression" dxfId="175" priority="19">
      <formula>$U$4=1</formula>
    </cfRule>
  </conditionalFormatting>
  <conditionalFormatting sqref="N2">
    <cfRule type="expression" dxfId="174" priority="13">
      <formula>$T$4=1</formula>
    </cfRule>
    <cfRule type="expression" dxfId="173" priority="14">
      <formula>$U$4=1</formula>
    </cfRule>
  </conditionalFormatting>
  <conditionalFormatting sqref="N6">
    <cfRule type="expression" dxfId="172" priority="10">
      <formula>$T$4=1</formula>
    </cfRule>
    <cfRule type="expression" dxfId="171" priority="11">
      <formula>$U$4=1</formula>
    </cfRule>
  </conditionalFormatting>
  <conditionalFormatting sqref="N8">
    <cfRule type="expression" dxfId="170" priority="8">
      <formula>$T$4=1</formula>
    </cfRule>
    <cfRule type="expression" dxfId="169" priority="9">
      <formula>$U$4=1</formula>
    </cfRule>
  </conditionalFormatting>
  <conditionalFormatting sqref="N14">
    <cfRule type="expression" dxfId="168" priority="6">
      <formula>$T$4=1</formula>
    </cfRule>
    <cfRule type="expression" dxfId="167" priority="7">
      <formula>$U$4=1</formula>
    </cfRule>
  </conditionalFormatting>
  <conditionalFormatting sqref="E16:F17">
    <cfRule type="expression" dxfId="166" priority="5">
      <formula>$X$2=1</formula>
    </cfRule>
  </conditionalFormatting>
  <conditionalFormatting sqref="E19:F19">
    <cfRule type="expression" dxfId="165" priority="4">
      <formula>$X$2=1</formula>
    </cfRule>
  </conditionalFormatting>
  <conditionalFormatting sqref="N16">
    <cfRule type="expression" dxfId="164" priority="3">
      <formula>$X$2=1</formula>
    </cfRule>
  </conditionalFormatting>
  <conditionalFormatting sqref="N18:N19">
    <cfRule type="expression" dxfId="163" priority="2">
      <formula>$X$2=1</formula>
    </cfRule>
  </conditionalFormatting>
  <conditionalFormatting sqref="N21:N22">
    <cfRule type="expression" dxfId="162" priority="1">
      <formula>$X$2=1</formula>
    </cfRule>
  </conditionalFormatting>
  <dataValidations count="4">
    <dataValidation type="decimal" operator="greaterThan" allowBlank="1" showInputMessage="1" showErrorMessage="1" sqref="F10 F8" xr:uid="{00000000-0002-0000-0000-000001000000}">
      <formula1>0</formula1>
    </dataValidation>
    <dataValidation operator="greaterThan" allowBlank="1" showInputMessage="1" showErrorMessage="1" sqref="E6 B4" xr:uid="{00000000-0002-0000-0000-000002000000}"/>
    <dataValidation type="decimal" operator="greaterThanOrEqual" allowBlank="1" showInputMessage="1" showErrorMessage="1" sqref="N8 N10" xr:uid="{00000000-0002-0000-0000-000000000000}">
      <formula1>0</formula1>
    </dataValidation>
    <dataValidation type="list" allowBlank="1" showInputMessage="1" showErrorMessage="1" sqref="E12:F12" xr:uid="{D8577D40-1BE3-42F9-841F-8E100ADE8742}">
      <formula1>$S$2:$S$4</formula1>
    </dataValidation>
  </dataValidations>
  <pageMargins left="0.39370078740157483" right="0.35433070866141736" top="0.59055118110236227" bottom="0.59055118110236227" header="0.51181102362204722" footer="0.51181102362204722"/>
  <pageSetup paperSize="9" scale="35" firstPageNumber="2" orientation="landscape" r:id="rId2"/>
  <headerFooter alignWithMargins="0"/>
  <colBreaks count="1" manualBreakCount="1">
    <brk id="41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1" r:id="rId5" name="Button 267">
              <controlPr defaultSize="0" print="0" autoFill="0" autoPict="0" macro="[0]!clean_all_file">
                <anchor moveWithCells="1">
                  <from>
                    <xdr:col>5</xdr:col>
                    <xdr:colOff>542925</xdr:colOff>
                    <xdr:row>27</xdr:row>
                    <xdr:rowOff>57150</xdr:rowOff>
                  </from>
                  <to>
                    <xdr:col>12</xdr:col>
                    <xdr:colOff>466725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6" name="Button 279">
              <controlPr defaultSize="0" print="0" autoFill="0" autoPict="0" macro="[0]!Макрос112121">
                <anchor moveWithCells="1">
                  <from>
                    <xdr:col>5</xdr:col>
                    <xdr:colOff>542925</xdr:colOff>
                    <xdr:row>22</xdr:row>
                    <xdr:rowOff>152400</xdr:rowOff>
                  </from>
                  <to>
                    <xdr:col>12</xdr:col>
                    <xdr:colOff>466725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1"/>
  <dimension ref="A1:R210"/>
  <sheetViews>
    <sheetView topLeftCell="A184" workbookViewId="0">
      <selection activeCell="K198" sqref="K198"/>
    </sheetView>
  </sheetViews>
  <sheetFormatPr defaultRowHeight="15" x14ac:dyDescent="0.25"/>
  <cols>
    <col min="1" max="1" width="18.7109375" bestFit="1" customWidth="1"/>
    <col min="2" max="2" width="14.42578125" bestFit="1" customWidth="1"/>
    <col min="3" max="3" width="24.42578125" customWidth="1"/>
    <col min="11" max="11" width="14.42578125" bestFit="1" customWidth="1"/>
    <col min="12" max="12" width="11.5703125" bestFit="1" customWidth="1"/>
    <col min="13" max="13" width="28.28515625" customWidth="1"/>
    <col min="18" max="18" width="28.28515625" bestFit="1" customWidth="1"/>
  </cols>
  <sheetData>
    <row r="1" spans="1:18" ht="15.75" thickBot="1" x14ac:dyDescent="0.3">
      <c r="A1" s="316" t="s">
        <v>36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  <c r="R1" s="67" t="s">
        <v>37</v>
      </c>
    </row>
    <row r="2" spans="1:18" ht="15.75" thickBot="1" x14ac:dyDescent="0.3">
      <c r="A2" s="54" t="s">
        <v>37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5"/>
      <c r="R2" s="73" t="str">
        <f>A3</f>
        <v>Kredo FAW</v>
      </c>
    </row>
    <row r="3" spans="1:18" ht="15.75" x14ac:dyDescent="0.25">
      <c r="A3" s="311" t="s">
        <v>38</v>
      </c>
      <c r="B3" s="47" t="s">
        <v>26</v>
      </c>
      <c r="C3" s="49" t="s">
        <v>27</v>
      </c>
      <c r="D3" s="53">
        <v>12</v>
      </c>
      <c r="E3" s="53">
        <v>24</v>
      </c>
      <c r="F3" s="53">
        <v>36</v>
      </c>
      <c r="G3" s="53">
        <v>48</v>
      </c>
      <c r="H3" s="53">
        <v>60</v>
      </c>
      <c r="I3" s="53">
        <v>72</v>
      </c>
      <c r="J3" s="53">
        <v>84</v>
      </c>
      <c r="K3" s="46" t="s">
        <v>46</v>
      </c>
      <c r="L3" s="45" t="s">
        <v>28</v>
      </c>
      <c r="M3" s="57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9,IF(Авто_Калькулятор!$V$23&gt;=50,C8,IF(Авто_Калькулятор!$V$23&gt;=40,C7,IF(Авто_Калькулятор!$V$23&gt;=30,C6,IF(Авто_Калькулятор!$V$23&gt;=20,C5,IF(Авто_Калькулятор!$V$23&gt;=10,C4,))))))))&amp;IF(AND(Авто_Калькулятор!$V$23&lt;10,Авто_Калькулятор!$V$23&gt;0),"Сума авансового платежу недостатня","")</f>
        <v/>
      </c>
      <c r="R3" s="69" t="str">
        <f>A11</f>
        <v>Kredo Mitsubishi</v>
      </c>
    </row>
    <row r="4" spans="1:18" x14ac:dyDescent="0.25">
      <c r="A4" s="312"/>
      <c r="B4" s="47">
        <f>IF(AND(Авто_Калькулятор!$B$4=C4,Авто_Калькулятор!$E$12=$D$3),D4,
IF(AND(Авто_Калькулятор!$B$4=C4,Авто_Калькулятор!$E$12=$E$3),E4,
IF(AND(Авто_Калькулятор!$B$4=C4,Авто_Калькулятор!$E$12=$F$3),F4,
IF(AND(Авто_Калькулятор!$B$4=C4,Авто_Калькулятор!$E$12=$G$3),G4,
IF(AND(Авто_Калькулятор!$B$4=C4,Авто_Калькулятор!$E$12=$H$3),H4,
IF(AND(Авто_Калькулятор!$B$4=C4,Авто_Калькулятор!$E$12=$I$3),I4,
IF(AND(Авто_Калькулятор!$B$4=C4,Авто_Калькулятор!$E$12=$J$3),J4,0)))))))</f>
        <v>0</v>
      </c>
      <c r="C4" s="11" t="s">
        <v>30</v>
      </c>
      <c r="D4" s="112">
        <v>2.9899999999999998</v>
      </c>
      <c r="E4" s="112">
        <v>4.99</v>
      </c>
      <c r="F4" s="112">
        <v>8.99</v>
      </c>
      <c r="G4" s="112">
        <v>8.99</v>
      </c>
      <c r="H4" s="112">
        <v>8.99</v>
      </c>
      <c r="I4" s="112">
        <v>9.99</v>
      </c>
      <c r="J4" s="112">
        <v>9.99</v>
      </c>
      <c r="K4" s="114">
        <f>IF(AND(Авто_Калькулятор!$B$4=C4,OR(Авто_Калькулятор!$E$12=$D$3,Авто_Калькулятор!$E$12=$E$3,Авто_Калькулятор!$E$12=$F$3)),0.0099,
0)</f>
        <v>0</v>
      </c>
      <c r="L4" s="52">
        <f>IF(Авто_Калькулятор!$E$12=D3,0%,IF(OR(Авто_Калькулятор!$E$12=E3,Авто_Калькулятор!$E$12=F3),0%,0%))</f>
        <v>0</v>
      </c>
      <c r="M4" s="74" t="s">
        <v>89</v>
      </c>
      <c r="R4" s="69" t="str">
        <f>A20</f>
        <v>Автостарт</v>
      </c>
    </row>
    <row r="5" spans="1:18" x14ac:dyDescent="0.25">
      <c r="A5" s="312"/>
      <c r="B5" s="47">
        <f>IF(AND(Авто_Калькулятор!$B$4=C5,Авто_Калькулятор!$E$12=$D$3),D5,
IF(AND(Авто_Калькулятор!$B$4=C5,Авто_Калькулятор!$E$12=$E$3),E5,
IF(AND(Авто_Калькулятор!$B$4=C5,Авто_Калькулятор!$E$12=$F$3),F5,
IF(AND(Авто_Калькулятор!$B$4=C5,Авто_Калькулятор!$E$12=$G$3),G5,
IF(AND(Авто_Калькулятор!$B$4=C5,Авто_Калькулятор!$E$12=$H$3),H5,
IF(AND(Авто_Калькулятор!$B$4=C5,Авто_Калькулятор!$E$12=$I$3),I5,
IF(AND(Авто_Калькулятор!$B$4=C5,Авто_Калькулятор!$E$12=$J$3),J5,0)))))))</f>
        <v>0</v>
      </c>
      <c r="C5" s="11" t="s">
        <v>31</v>
      </c>
      <c r="D5" s="112">
        <v>0.01</v>
      </c>
      <c r="E5" s="112">
        <v>4.99</v>
      </c>
      <c r="F5" s="112">
        <v>7.99</v>
      </c>
      <c r="G5" s="112">
        <v>7.99</v>
      </c>
      <c r="H5" s="112">
        <v>7.99</v>
      </c>
      <c r="I5" s="112">
        <v>8.99</v>
      </c>
      <c r="J5" s="112">
        <v>9.99</v>
      </c>
      <c r="K5" s="114">
        <f>IF(AND(Авто_Калькулятор!$B$4=C5,OR(Авто_Калькулятор!$E$12=$D$3,Авто_Калькулятор!$E$12=$E$3,Авто_Калькулятор!$E$12=$F$3)),0.0099,
0)</f>
        <v>0</v>
      </c>
      <c r="L5" s="56"/>
      <c r="M5" s="58"/>
      <c r="R5" s="69" t="str">
        <f>A23</f>
        <v>Кредоавто</v>
      </c>
    </row>
    <row r="6" spans="1:18" x14ac:dyDescent="0.25">
      <c r="A6" s="312"/>
      <c r="B6" s="47">
        <f>IF(AND(Авто_Калькулятор!$B$4=C6,Авто_Калькулятор!$E$12=$D$3),D6,
IF(AND(Авто_Калькулятор!$B$4=C6,Авто_Калькулятор!$E$12=$E$3),E6,
IF(AND(Авто_Калькулятор!$B$4=C6,Авто_Калькулятор!$E$12=$F$3),F6,
IF(AND(Авто_Калькулятор!$B$4=C6,Авто_Калькулятор!$E$12=$G$3),G6,
IF(AND(Авто_Калькулятор!$B$4=C6,Авто_Калькулятор!$E$12=$H$3),H6,
IF(AND(Авто_Калькулятор!$B$4=C6,Авто_Калькулятор!$E$12=$I$3),I6,
IF(AND(Авто_Калькулятор!$B$4=C6,Авто_Калькулятор!$E$12=$J$3),J6,0)))))))</f>
        <v>0</v>
      </c>
      <c r="C6" s="11" t="s">
        <v>32</v>
      </c>
      <c r="D6" s="112">
        <v>0.01</v>
      </c>
      <c r="E6" s="112">
        <v>3.9899999999999998</v>
      </c>
      <c r="F6" s="112">
        <v>6.99</v>
      </c>
      <c r="G6" s="112">
        <v>6.99</v>
      </c>
      <c r="H6" s="112">
        <v>6.99</v>
      </c>
      <c r="I6" s="112">
        <v>8.99</v>
      </c>
      <c r="J6" s="112">
        <v>9.99</v>
      </c>
      <c r="K6" s="114">
        <f>IF(AND(Авто_Калькулятор!$B$4=C6,OR(Авто_Калькулятор!$E$12=$D$3,Авто_Калькулятор!$E$12=$E$3,Авто_Калькулятор!$E$12=$F$3)),0.0099,
0)</f>
        <v>0</v>
      </c>
      <c r="L6" s="92"/>
      <c r="M6" s="58"/>
      <c r="R6" s="69" t="str">
        <f>A31</f>
        <v>Кредо Укравто</v>
      </c>
    </row>
    <row r="7" spans="1:18" x14ac:dyDescent="0.25">
      <c r="A7" s="312"/>
      <c r="B7" s="47">
        <f>IF(AND(Авто_Калькулятор!$B$4=C7,Авто_Калькулятор!$E$12=$D$3),D7,
IF(AND(Авто_Калькулятор!$B$4=C7,Авто_Калькулятор!$E$12=$E$3),E7,
IF(AND(Авто_Калькулятор!$B$4=C7,Авто_Калькулятор!$E$12=$F$3),F7,
IF(AND(Авто_Калькулятор!$B$4=C7,Авто_Калькулятор!$E$12=$G$3),G7,
IF(AND(Авто_Калькулятор!$B$4=C7,Авто_Калькулятор!$E$12=$H$3),H7,
IF(AND(Авто_Калькулятор!$B$4=C7,Авто_Калькулятор!$E$12=$I$3),I7,
IF(AND(Авто_Калькулятор!$B$4=C7,Авто_Калькулятор!$E$12=$J$3),J7,0)))))))</f>
        <v>0</v>
      </c>
      <c r="C7" s="11" t="s">
        <v>33</v>
      </c>
      <c r="D7" s="112">
        <v>0.01</v>
      </c>
      <c r="E7" s="112">
        <v>0.01</v>
      </c>
      <c r="F7" s="112">
        <v>6.99</v>
      </c>
      <c r="G7" s="112">
        <v>6.99</v>
      </c>
      <c r="H7" s="112">
        <v>6.99</v>
      </c>
      <c r="I7" s="112">
        <v>7.99</v>
      </c>
      <c r="J7" s="112">
        <v>8.99</v>
      </c>
      <c r="K7" s="114">
        <f>IF(AND(Авто_Калькулятор!$B$4=C7,OR(Авто_Калькулятор!$E$12=$D$3,Авто_Калькулятор!$E$12=$E$3,Авто_Калькулятор!$E$12=$F$3)),0.0099,
0)</f>
        <v>0</v>
      </c>
      <c r="L7" s="92"/>
      <c r="M7" s="58"/>
      <c r="R7" s="69" t="str">
        <f>A39</f>
        <v>Mazda-suzuki</v>
      </c>
    </row>
    <row r="8" spans="1:18" x14ac:dyDescent="0.25">
      <c r="A8" s="312"/>
      <c r="B8" s="47">
        <f>IF(AND(Авто_Калькулятор!$B$4=C8,Авто_Калькулятор!$E$12=$D$3),D8,
IF(AND(Авто_Калькулятор!$B$4=C8,Авто_Калькулятор!$E$12=$E$3),E8,
IF(AND(Авто_Калькулятор!$B$4=C8,Авто_Калькулятор!$E$12=$F$3),F8,
IF(AND(Авто_Калькулятор!$B$4=C8,Авто_Калькулятор!$E$12=$G$3),G8,
IF(AND(Авто_Калькулятор!$B$4=C8,Авто_Калькулятор!$E$12=$H$3),H8,
IF(AND(Авто_Калькулятор!$B$4=C8,Авто_Калькулятор!$E$12=$I$3),I8,
IF(AND(Авто_Калькулятор!$B$4=C8,Авто_Калькулятор!$E$12=$J$3),J8,0)))))))</f>
        <v>0</v>
      </c>
      <c r="C8" s="11" t="s">
        <v>34</v>
      </c>
      <c r="D8" s="112">
        <v>0.01</v>
      </c>
      <c r="E8" s="112">
        <v>0.01</v>
      </c>
      <c r="F8" s="112">
        <v>0.01</v>
      </c>
      <c r="G8" s="112">
        <v>5.99</v>
      </c>
      <c r="H8" s="112">
        <v>5.99</v>
      </c>
      <c r="I8" s="112">
        <v>6.99</v>
      </c>
      <c r="J8" s="112">
        <v>7.99</v>
      </c>
      <c r="K8" s="114">
        <f>IF(AND(Авто_Калькулятор!$B$4=C8, OR(Авто_Калькулятор!$E$12=$D$3,Авто_Калькулятор!$E$12=$E$3)),0.0099,
IF(AND(Авто_Калькулятор!$B$4=C8,OR(Авто_Калькулятор!$E$12=$F$3)),0.0199,0))</f>
        <v>0</v>
      </c>
      <c r="L8" s="56"/>
      <c r="M8" s="58"/>
      <c r="R8" s="69" t="str">
        <f>A48</f>
        <v>Kredo Hyundai SE</v>
      </c>
    </row>
    <row r="9" spans="1:18" ht="15.75" customHeight="1" thickBot="1" x14ac:dyDescent="0.3">
      <c r="A9" s="312"/>
      <c r="B9" s="55">
        <f>IF(AND(Авто_Калькулятор!$B$4=C9,Авто_Калькулятор!$E$12=$D$3),D9,
IF(AND(Авто_Калькулятор!$B$4=C9,Авто_Калькулятор!$E$12=$E$3),E9,
IF(AND(Авто_Калькулятор!$B$4=C9,Авто_Калькулятор!$E$12=$F$3),F9,
IF(AND(Авто_Калькулятор!$B$4=C9,Авто_Калькулятор!$E$12=$G$3),G9,
IF(AND(Авто_Калькулятор!$B$4=C9,Авто_Калькулятор!$E$12=$H$3),H9,
IF(AND(Авто_Калькулятор!$B$4=C9,Авто_Калькулятор!$E$12=$I$3),I9,
IF(AND(Авто_Калькулятор!$B$4=C9,Авто_Калькулятор!$E$12=$J$3),J9,0)))))))</f>
        <v>0</v>
      </c>
      <c r="C9" s="59" t="s">
        <v>35</v>
      </c>
      <c r="D9" s="112">
        <v>0.01</v>
      </c>
      <c r="E9" s="112">
        <v>0.01</v>
      </c>
      <c r="F9" s="112">
        <v>0.01</v>
      </c>
      <c r="G9" s="112">
        <v>4.99</v>
      </c>
      <c r="H9" s="112">
        <v>4.99</v>
      </c>
      <c r="I9" s="112">
        <v>5.99</v>
      </c>
      <c r="J9" s="112">
        <v>6.99</v>
      </c>
      <c r="K9" s="114">
        <f>IF(AND(Авто_Калькулятор!$B$4=C9, OR(Авто_Калькулятор!$E$12=$D$3,Авто_Калькулятор!$E$12=$E$3)),0.0099,
IF(AND(Авто_Калькулятор!$B$4=C9,OR(Авто_Калькулятор!$E$12=$F$3)),0.0199,0))</f>
        <v>0</v>
      </c>
      <c r="L9" s="56"/>
      <c r="M9" s="58"/>
      <c r="R9" s="69" t="str">
        <f>A55</f>
        <v>Kredo TOP</v>
      </c>
    </row>
    <row r="10" spans="1:18" ht="15.75" thickBot="1" x14ac:dyDescent="0.3">
      <c r="A10" s="313"/>
      <c r="B10" s="71">
        <f>SUM(B4:B9)</f>
        <v>0</v>
      </c>
      <c r="C10" s="60"/>
      <c r="D10" s="93"/>
      <c r="E10" s="93"/>
      <c r="F10" s="93"/>
      <c r="G10" s="93"/>
      <c r="H10" s="93"/>
      <c r="I10" s="93"/>
      <c r="J10" s="93"/>
      <c r="K10" s="72">
        <f>SUM(K4:K9)</f>
        <v>0</v>
      </c>
      <c r="L10" s="60"/>
      <c r="M10" s="61"/>
      <c r="R10" s="69" t="str">
        <f>A64</f>
        <v>Kredo BMW</v>
      </c>
    </row>
    <row r="11" spans="1:18" ht="25.5" customHeight="1" x14ac:dyDescent="0.25">
      <c r="A11" s="302" t="s">
        <v>44</v>
      </c>
      <c r="B11" s="62" t="s">
        <v>26</v>
      </c>
      <c r="C11" s="63" t="s">
        <v>27</v>
      </c>
      <c r="D11" s="94">
        <v>12</v>
      </c>
      <c r="E11" s="94">
        <v>24</v>
      </c>
      <c r="F11" s="94">
        <v>36</v>
      </c>
      <c r="G11" s="94">
        <v>48</v>
      </c>
      <c r="H11" s="94">
        <v>60</v>
      </c>
      <c r="I11" s="94">
        <v>72</v>
      </c>
      <c r="J11" s="94">
        <v>84</v>
      </c>
      <c r="K11" s="46" t="s">
        <v>46</v>
      </c>
      <c r="L11" s="65" t="s">
        <v>28</v>
      </c>
      <c r="M11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18,IF(Авто_Калькулятор!$V$23&gt;=60,C17,IF(Авто_Калькулятор!$V$23&gt;=50,C16,IF(Авто_Калькулятор!$V$23&gt;=40,C15,IF(Авто_Калькулятор!$V$23&gt;=30,C14,IF(Авто_Калькулятор!$V$23&gt;=20,C13,IF(Авто_Калькулятор!$V$23&gt;=10,C12,))))))))&amp;IF(AND(Авто_Калькулятор!$V$23&lt;10,Авто_Калькулятор!$V$23&gt;0),"Сума авансового платежу недостатня",""))</f>
        <v/>
      </c>
      <c r="R11" s="69" t="str">
        <f>A71</f>
        <v>Kredo PCU</v>
      </c>
    </row>
    <row r="12" spans="1:18" x14ac:dyDescent="0.25">
      <c r="A12" s="303"/>
      <c r="B12" s="47">
        <f>IF(AND(Авто_Калькулятор!$B$4=C12,Авто_Калькулятор!$E$12=$D$11),D12,
IF(AND(Авто_Калькулятор!$B$4=C12,Авто_Калькулятор!$E$12=$E$11),E12,
IF(AND(Авто_Калькулятор!$B$4=C12,Авто_Калькулятор!$E$12=$F$11),F12,
IF(AND(Авто_Калькулятор!$B$4=C12,Авто_Калькулятор!$E$12=$G$11),G12,
IF(AND(Авто_Калькулятор!$B$4=C12,Авто_Калькулятор!$E$12=$H$11),H12,
IF(AND(Авто_Калькулятор!$B$4=C12,Авто_Калькулятор!$E$12=$I$11),I12,
IF(AND(Авто_Калькулятор!$B$4=C12,Авто_Калькулятор!$E$12=$J$11),J12,0)))))))</f>
        <v>0</v>
      </c>
      <c r="C12" s="11" t="s">
        <v>39</v>
      </c>
      <c r="D12" s="104">
        <v>4.99</v>
      </c>
      <c r="E12" s="104">
        <v>6.99</v>
      </c>
      <c r="F12" s="104">
        <v>7.99</v>
      </c>
      <c r="G12" s="104">
        <v>10.99</v>
      </c>
      <c r="H12" s="104">
        <v>10.99</v>
      </c>
      <c r="I12" s="104">
        <v>10.99</v>
      </c>
      <c r="J12" s="104">
        <v>11.99</v>
      </c>
      <c r="K12" s="105">
        <f>IF(AND(Авто_Калькулятор!$B$4=C12, OR(Авто_Калькулятор!$E$12=$D$11,Авто_Калькулятор!$E$12=$E$11)),0,
IF(AND(Авто_Калькулятор!$B$4=C12,OR(Авто_Калькулятор!$E$12=$F$11,)),0,0))</f>
        <v>0</v>
      </c>
      <c r="L12" s="100">
        <f>IF(Авто_Калькулятор!$E$12=D11,0%,IF(OR(Авто_Калькулятор!$E$12=E11,Авто_Калькулятор!$E$12=F11),0%,0%))</f>
        <v>0</v>
      </c>
      <c r="M12" s="74" t="s">
        <v>89</v>
      </c>
      <c r="R12" s="68" t="str">
        <f>A79</f>
        <v>Кредо Електро</v>
      </c>
    </row>
    <row r="13" spans="1:18" x14ac:dyDescent="0.25">
      <c r="A13" s="303"/>
      <c r="B13" s="47">
        <f>IF(AND(Авто_Калькулятор!$B$4=C13,Авто_Калькулятор!$E$12=$D$11),D13,
IF(AND(Авто_Калькулятор!$B$4=C13,Авто_Калькулятор!$E$12=$E$11),E13,
IF(AND(Авто_Калькулятор!$B$4=C13,Авто_Калькулятор!$E$12=$F$11),F13,
IF(AND(Авто_Калькулятор!$B$4=C13,Авто_Калькулятор!$E$12=$G$11),G13,
IF(AND(Авто_Калькулятор!$B$4=C13,Авто_Калькулятор!$E$12=$H$11),H13,
IF(AND(Авто_Калькулятор!$B$4=C13,Авто_Калькулятор!$E$12=$I$11),I13,
IF(AND(Авто_Калькулятор!$B$4=C13,Авто_Калькулятор!$E$12=$J$11),J13,0)))))))</f>
        <v>0</v>
      </c>
      <c r="C13" s="11" t="s">
        <v>40</v>
      </c>
      <c r="D13" s="104">
        <v>0.01</v>
      </c>
      <c r="E13" s="104">
        <v>6.49</v>
      </c>
      <c r="F13" s="104">
        <v>7.4899999999999993</v>
      </c>
      <c r="G13" s="104">
        <v>10.489999999999998</v>
      </c>
      <c r="H13" s="104">
        <v>10.489999999999998</v>
      </c>
      <c r="I13" s="104">
        <v>10.489999999999998</v>
      </c>
      <c r="J13" s="104">
        <v>10.99</v>
      </c>
      <c r="K13" s="105">
        <f>IF(AND(Авто_Калькулятор!$B$4=C13, OR(Авто_Калькулятор!$E$12=$F$11,Авто_Калькулятор!$E$12=$E$11)),0,
IF(AND(Авто_Калькулятор!$B$4=C13,OR(Авто_Калькулятор!$E$12=$D$11,)),0.0199,0))</f>
        <v>0</v>
      </c>
      <c r="L13" s="56"/>
      <c r="M13" s="58"/>
      <c r="R13" s="69" t="str">
        <f>A87</f>
        <v>Kredo Skoda Grace</v>
      </c>
    </row>
    <row r="14" spans="1:18" x14ac:dyDescent="0.25">
      <c r="A14" s="303"/>
      <c r="B14" s="47">
        <f>IF(AND(Авто_Калькулятор!$B$4=C14,Авто_Калькулятор!$E$12=$D$11),D14,
IF(AND(Авто_Калькулятор!$B$4=C14,Авто_Калькулятор!$E$12=$E$11),E14,
IF(AND(Авто_Калькулятор!$B$4=C14,Авто_Калькулятор!$E$12=$F$11),F14,
IF(AND(Авто_Калькулятор!$B$4=C14,Авто_Калькулятор!$E$12=$G$11),G14,
IF(AND(Авто_Калькулятор!$B$4=C14,Авто_Калькулятор!$E$12=$H$11),H14,
IF(AND(Авто_Калькулятор!$B$4=C14,Авто_Калькулятор!$E$12=$I$11),I14,
IF(AND(Авто_Калькулятор!$B$4=C14,Авто_Калькулятор!$E$12=$J$11),J14,0)))))))</f>
        <v>0</v>
      </c>
      <c r="C14" s="11" t="s">
        <v>41</v>
      </c>
      <c r="D14" s="104">
        <v>0.01</v>
      </c>
      <c r="E14" s="104">
        <v>4.49</v>
      </c>
      <c r="F14" s="104">
        <v>6.49</v>
      </c>
      <c r="G14" s="104">
        <v>9.49</v>
      </c>
      <c r="H14" s="104">
        <v>9.49</v>
      </c>
      <c r="I14" s="104">
        <v>9.49</v>
      </c>
      <c r="J14" s="104">
        <v>9.99</v>
      </c>
      <c r="K14" s="105">
        <f>IF(AND(Авто_Калькулятор!$B$4=C14, OR(Авто_Калькулятор!$E$12=$F$11,Авто_Калькулятор!$E$12=$E$11)),0,
IF(AND(Авто_Калькулятор!$B$4=C14,OR(Авто_Калькулятор!$E$12=$D$11,)),0.0199,0))</f>
        <v>0</v>
      </c>
      <c r="L14" s="56"/>
      <c r="M14" s="58"/>
      <c r="R14" s="69" t="str">
        <f>A96</f>
        <v>Kredo Hyundai 2020</v>
      </c>
    </row>
    <row r="15" spans="1:18" x14ac:dyDescent="0.25">
      <c r="A15" s="303"/>
      <c r="B15" s="47">
        <f>IF(AND(Авто_Калькулятор!$B$4=C15,Авто_Калькулятор!$E$12=$D$11),D15,
IF(AND(Авто_Калькулятор!$B$4=C15,Авто_Калькулятор!$E$12=$E$11),E15,
IF(AND(Авто_Калькулятор!$B$4=C15,Авто_Калькулятор!$E$12=$F$11),F15,
IF(AND(Авто_Калькулятор!$B$4=C15,Авто_Калькулятор!$E$12=$G$11),G15,
IF(AND(Авто_Калькулятор!$B$4=C15,Авто_Калькулятор!$E$12=$H$11),H15,
IF(AND(Авто_Калькулятор!$B$4=C15,Авто_Калькулятор!$E$12=$I$11),I15,
IF(AND(Авто_Калькулятор!$B$4=C15,Авто_Калькулятор!$E$12=$J$11),J15,0)))))))</f>
        <v>0</v>
      </c>
      <c r="C15" s="11" t="s">
        <v>42</v>
      </c>
      <c r="D15" s="104">
        <v>0.01</v>
      </c>
      <c r="E15" s="104">
        <v>0.01</v>
      </c>
      <c r="F15" s="104">
        <v>5.4899999999999993</v>
      </c>
      <c r="G15" s="104">
        <v>6.49</v>
      </c>
      <c r="H15" s="104">
        <v>6.49</v>
      </c>
      <c r="I15" s="104">
        <v>8.49</v>
      </c>
      <c r="J15" s="104">
        <v>8.99</v>
      </c>
      <c r="K15" s="105">
        <f>IF(AND(Авто_Калькулятор!$B$4=C15, OR(Авто_Калькулятор!$E$12=$D$11,Авто_Калькулятор!$E$12=$E$11)),0.0199,
IF(AND(Авто_Калькулятор!$B$4=C15,OR(Авто_Калькулятор!$E$12=$F$11,)),0,0))</f>
        <v>0</v>
      </c>
      <c r="L15" s="56"/>
      <c r="M15" s="58"/>
      <c r="R15" s="69" t="str">
        <f>A105</f>
        <v>Kredo FIAT</v>
      </c>
    </row>
    <row r="16" spans="1:18" x14ac:dyDescent="0.25">
      <c r="A16" s="303"/>
      <c r="B16" s="47">
        <f>IF(AND(Авто_Калькулятор!$B$4=C16,Авто_Калькулятор!$E$12=$D$11),D16,
IF(AND(Авто_Калькулятор!$B$4=C16,Авто_Калькулятор!$E$12=$E$11),E16,
IF(AND(Авто_Калькулятор!$B$4=C16,Авто_Калькулятор!$E$12=$F$11),F16,
IF(AND(Авто_Калькулятор!$B$4=C16,Авто_Калькулятор!$E$12=$G$11),G16,
IF(AND(Авто_Калькулятор!$B$4=C16,Авто_Калькулятор!$E$12=$H$11),H16,
IF(AND(Авто_Калькулятор!$B$4=C16,Авто_Калькулятор!$E$12=$I$11),I16,
IF(AND(Авто_Калькулятор!$B$4=C16,Авто_Калькулятор!$E$12=$J$11),J16,0)))))))</f>
        <v>0</v>
      </c>
      <c r="C16" s="11" t="s">
        <v>43</v>
      </c>
      <c r="D16" s="104">
        <v>0.01</v>
      </c>
      <c r="E16" s="104">
        <v>0.01</v>
      </c>
      <c r="F16" s="104">
        <v>0.01</v>
      </c>
      <c r="G16" s="104">
        <v>5.4899999999999993</v>
      </c>
      <c r="H16" s="104">
        <v>5.4899999999999993</v>
      </c>
      <c r="I16" s="104">
        <v>7.4899999999999993</v>
      </c>
      <c r="J16" s="104">
        <v>7.99</v>
      </c>
      <c r="K16" s="105">
        <f>IF(AND(Авто_Калькулятор!$B$4=C16, OR(Авто_Калькулятор!$E$12=$E$11)),0.0099,
IF(AND(Авто_Калькулятор!$B$4=C16,OR(Авто_Калькулятор!$E$12=$F$11,)),0.0199,0))</f>
        <v>0</v>
      </c>
      <c r="L16" s="56"/>
      <c r="M16" s="58"/>
      <c r="R16" s="69" t="str">
        <f>A113</f>
        <v>Доступний</v>
      </c>
    </row>
    <row r="17" spans="1:18" x14ac:dyDescent="0.25">
      <c r="A17" s="303"/>
      <c r="B17" s="47">
        <f>IF(AND(Авто_Калькулятор!$B$4=C17,Авто_Калькулятор!$E$12=$D$11),D17,
IF(AND(Авто_Калькулятор!$B$4=C17,Авто_Калькулятор!$E$12=$E$11),E17,
IF(AND(Авто_Калькулятор!$B$4=C17,Авто_Калькулятор!$E$12=$F$11),F17,
IF(AND(Авто_Калькулятор!$B$4=C17,Авто_Калькулятор!$E$12=$G$11),G17,
IF(AND(Авто_Калькулятор!$B$4=C17,Авто_Калькулятор!$E$12=$H$11),H17,
IF(AND(Авто_Калькулятор!$B$4=C17,Авто_Калькулятор!$E$12=$I$11),I17,
IF(AND(Авто_Калькулятор!$B$4=C17,Авто_Калькулятор!$E$12=$J$11),J17,0)))))))</f>
        <v>0</v>
      </c>
      <c r="C17" s="11" t="s">
        <v>169</v>
      </c>
      <c r="D17" s="104">
        <v>0.01</v>
      </c>
      <c r="E17" s="104">
        <v>0.01</v>
      </c>
      <c r="F17" s="104">
        <v>0.01</v>
      </c>
      <c r="G17" s="104">
        <v>4.49</v>
      </c>
      <c r="H17" s="104">
        <v>4.49</v>
      </c>
      <c r="I17" s="104">
        <v>5.4899999999999993</v>
      </c>
      <c r="J17" s="104">
        <v>5.99</v>
      </c>
      <c r="K17" s="105">
        <f>IF(AND(Авто_Калькулятор!$B$4=C17, OR(Авто_Калькулятор!$E$12=$F$11)),0.0199,
IF(AND(Авто_Калькулятор!$B$4=C17,OR(Авто_Калькулятор!$E$12=$E$11,)),0,0))</f>
        <v>0</v>
      </c>
      <c r="L17" s="56"/>
      <c r="M17" s="58"/>
      <c r="R17" s="69" t="str">
        <f>A121</f>
        <v>Kredo Grace</v>
      </c>
    </row>
    <row r="18" spans="1:18" ht="15.75" thickBot="1" x14ac:dyDescent="0.3">
      <c r="A18" s="303"/>
      <c r="B18" s="47">
        <f>IF(AND(Авто_Калькулятор!$B$4=C18,Авто_Калькулятор!$E$12=$D$11),D18,
IF(AND(Авто_Калькулятор!$B$4=C18,Авто_Калькулятор!$E$12=$E$11),E18,
IF(AND(Авто_Калькулятор!$B$4=C18,Авто_Калькулятор!$E$12=$F$11),F18,
IF(AND(Авто_Калькулятор!$B$4=C18,Авто_Калькулятор!$E$12=$G$11),G18,
IF(AND(Авто_Калькулятор!$B$4=C18,Авто_Калькулятор!$E$12=$H$11),H18,
IF(AND(Авто_Калькулятор!$B$4=C18,Авто_Калькулятор!$E$12=$I$11),I18,
IF(AND(Авто_Калькулятор!$B$4=C18,Авто_Калькулятор!$E$12=$J$11),J18,0)))))))</f>
        <v>0</v>
      </c>
      <c r="C18" s="59" t="s">
        <v>170</v>
      </c>
      <c r="D18" s="104">
        <v>0.01</v>
      </c>
      <c r="E18" s="104">
        <v>0.01</v>
      </c>
      <c r="F18" s="104">
        <v>0.01</v>
      </c>
      <c r="G18" s="104">
        <v>1E-3</v>
      </c>
      <c r="H18" s="104">
        <v>1E-3</v>
      </c>
      <c r="I18" s="104">
        <v>1E-3</v>
      </c>
      <c r="J18" s="104">
        <v>1E-3</v>
      </c>
      <c r="K18" s="105">
        <f>IF(AND(Авто_Калькулятор!$B$4=C18, OR(Авто_Калькулятор!$E$12=$D$11,Авто_Калькулятор!$E$12=$E$11)),0,
IF(AND(Авто_Калькулятор!$B$4=C18,OR(Авто_Калькулятор!$E$12=$F$11,)),0,0))</f>
        <v>0</v>
      </c>
      <c r="L18" s="56"/>
      <c r="M18" s="58"/>
      <c r="R18" s="69" t="str">
        <f>A180</f>
        <v>Kredo MINIMUM</v>
      </c>
    </row>
    <row r="19" spans="1:18" ht="15.75" thickBot="1" x14ac:dyDescent="0.3">
      <c r="A19" s="304"/>
      <c r="B19" s="71">
        <f>SUM(B12:B18)</f>
        <v>0</v>
      </c>
      <c r="C19" s="60"/>
      <c r="D19" s="93"/>
      <c r="E19" s="93"/>
      <c r="F19" s="93"/>
      <c r="G19" s="93"/>
      <c r="H19" s="93"/>
      <c r="I19" s="93"/>
      <c r="J19" s="93"/>
      <c r="K19" s="72">
        <f>SUM(K12:K18)</f>
        <v>0</v>
      </c>
      <c r="L19" s="60"/>
      <c r="M19" s="61"/>
      <c r="R19" s="69" t="str">
        <f>A129</f>
        <v>Kredo T</v>
      </c>
    </row>
    <row r="20" spans="1:18" ht="15.75" x14ac:dyDescent="0.25">
      <c r="A20" s="311" t="s">
        <v>47</v>
      </c>
      <c r="B20" s="62" t="s">
        <v>26</v>
      </c>
      <c r="C20" s="63" t="s">
        <v>27</v>
      </c>
      <c r="D20" s="94">
        <v>12</v>
      </c>
      <c r="E20" s="94">
        <v>24</v>
      </c>
      <c r="F20" s="94">
        <v>36</v>
      </c>
      <c r="G20" s="94">
        <v>48</v>
      </c>
      <c r="H20" s="94">
        <v>60</v>
      </c>
      <c r="I20" s="94">
        <v>72</v>
      </c>
      <c r="J20" s="94">
        <v>84</v>
      </c>
      <c r="K20" s="46" t="s">
        <v>46</v>
      </c>
      <c r="L20" s="65" t="s">
        <v>28</v>
      </c>
      <c r="M20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авто",IF(Авто_Калькулятор!$V$23&gt;=10,C21,)))&amp;IF(AND(Авто_Калькулятор!$V$23&lt;10,Авто_Калькулятор!$V$23&gt;0),"Сума авансового платежу недостатня","")</f>
        <v/>
      </c>
      <c r="R20" s="69" t="str">
        <f>A137</f>
        <v>Взаємний 2,5</v>
      </c>
    </row>
    <row r="21" spans="1:18" ht="15.75" thickBot="1" x14ac:dyDescent="0.3">
      <c r="A21" s="312"/>
      <c r="B21" s="47">
        <f>IF(AND(Авто_Калькулятор!$B$4=C21,Авто_Калькулятор!$E$12=D$20),D21,
IF(AND(Авто_Калькулятор!$B$4=C21,Авто_Калькулятор!$E$12=E$20),E21,
IF(AND(Авто_Калькулятор!$B$4=C21,Авто_Калькулятор!$E$12=F$20),F21,
IF(AND(Авто_Калькулятор!$B$4=C21,Авто_Калькулятор!$E$12=G$20),G21,
IF(AND(Авто_Калькулятор!$B$4=C21,Авто_Калькулятор!$E$12=H$20),H21,
IF(AND(Авто_Калькулятор!$B$4=C21,Авто_Калькулятор!$E$12=I$20),I21,
IF(AND(Авто_Калькулятор!$B$4=C21,Авто_Калькулятор!$E$12=J$20),J21,0)))))))</f>
        <v>0</v>
      </c>
      <c r="C21" s="11" t="s">
        <v>47</v>
      </c>
      <c r="D21" s="112">
        <v>8.99</v>
      </c>
      <c r="E21" s="112">
        <v>8.99</v>
      </c>
      <c r="F21" s="112">
        <v>9.99</v>
      </c>
      <c r="G21" s="112">
        <v>10.99</v>
      </c>
      <c r="H21" s="112">
        <v>10.99</v>
      </c>
      <c r="I21" s="112">
        <v>11.99</v>
      </c>
      <c r="J21" s="112">
        <v>11.99</v>
      </c>
      <c r="K21" s="70">
        <f>IF(AND(Авто_Калькулятор!$B$4=C21, OR(Авто_Калькулятор!$E$12=D20,Авто_Калькулятор!$E$12=E20,Авто_Калькулятор!$E$12=G20,Авто_Калькулятор!$E$12=H20,Авто_Калькулятор!$E$12=I20,Авто_Калькулятор!$E$12=J20)),0.0199,
IF(AND(Авто_Калькулятор!$B$4=C21,OR(Авто_Калькулятор!$E$12=F20,)),0.0199,0))</f>
        <v>0</v>
      </c>
      <c r="L21" s="113">
        <v>0</v>
      </c>
      <c r="M21" s="74" t="s">
        <v>89</v>
      </c>
      <c r="R21" s="69" t="str">
        <f>A145</f>
        <v>Kredo Ravon</v>
      </c>
    </row>
    <row r="22" spans="1:18" ht="15.75" thickBot="1" x14ac:dyDescent="0.3">
      <c r="A22" s="313"/>
      <c r="B22" s="71">
        <f>SUM(B21:B21)</f>
        <v>0</v>
      </c>
      <c r="C22" s="60"/>
      <c r="D22" s="93"/>
      <c r="E22" s="93"/>
      <c r="F22" s="93"/>
      <c r="G22" s="93"/>
      <c r="H22" s="93"/>
      <c r="I22" s="93"/>
      <c r="J22" s="93"/>
      <c r="K22" s="72">
        <f>SUM(K21:K21)</f>
        <v>0</v>
      </c>
      <c r="L22" s="92"/>
      <c r="M22" s="61"/>
      <c r="R22" s="69" t="str">
        <f>A154</f>
        <v>Kredo P</v>
      </c>
    </row>
    <row r="23" spans="1:18" ht="15.75" x14ac:dyDescent="0.25">
      <c r="A23" s="311" t="s">
        <v>54</v>
      </c>
      <c r="B23" s="62" t="s">
        <v>26</v>
      </c>
      <c r="C23" s="63" t="s">
        <v>27</v>
      </c>
      <c r="D23" s="94">
        <v>12</v>
      </c>
      <c r="E23" s="94">
        <v>24</v>
      </c>
      <c r="F23" s="94">
        <v>36</v>
      </c>
      <c r="G23" s="94">
        <v>48</v>
      </c>
      <c r="H23" s="94">
        <v>60</v>
      </c>
      <c r="I23" s="94">
        <v>72</v>
      </c>
      <c r="J23" s="94">
        <v>84</v>
      </c>
      <c r="K23" s="46" t="s">
        <v>46</v>
      </c>
      <c r="L23" s="65" t="s">
        <v>28</v>
      </c>
      <c r="M23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29,IF(Авто_Калькулятор!$V$23&gt;=50,C28,IF(Авто_Калькулятор!$V$23&gt;=40,C27,IF(Авто_Калькулятор!$V$23&gt;=30,C26,IF(Авто_Калькулятор!$V$23&gt;=20,C25,IF(Авто_Калькулятор!$V$23&gt;=10,C24,))))))))&amp;IF(AND(Авто_Калькулятор!$V$23&lt;10,Авто_Калькулятор!$V$23&gt;0),"Сума авансового платежу недостатня","")</f>
        <v/>
      </c>
      <c r="R23" s="69" t="str">
        <f>A160</f>
        <v>Kredo ELITE</v>
      </c>
    </row>
    <row r="24" spans="1:18" x14ac:dyDescent="0.25">
      <c r="A24" s="312"/>
      <c r="B24" s="47">
        <f>IF(AND(Авто_Калькулятор!$B$4=C24,Авто_Калькулятор!$E$12=$D$23),D24,
IF(AND(Авто_Калькулятор!$B$4=C24,Авто_Калькулятор!$E$12=$E$23),E24,
IF(AND(Авто_Калькулятор!$B$4=C24,Авто_Калькулятор!$E$12=$F$23),F24,
IF(AND(Авто_Калькулятор!$B$4=C24,Авто_Калькулятор!$E$12=$G$23),G24,
IF(AND(Авто_Калькулятор!$B$4=C24,Авто_Калькулятор!$E$12=$H$23),H24,
IF(AND(Авто_Калькулятор!$B$4=C24,Авто_Калькулятор!$E$12=$I$23),I24,
IF(AND(Авто_Калькулятор!$B$4=C24,Авто_Калькулятор!$E$12=$J$23),J24,0)))))))</f>
        <v>0</v>
      </c>
      <c r="C24" s="11" t="s">
        <v>48</v>
      </c>
      <c r="D24" s="112">
        <v>11.49</v>
      </c>
      <c r="E24" s="112">
        <v>11.49</v>
      </c>
      <c r="F24" s="112">
        <v>11.49</v>
      </c>
      <c r="G24" s="112">
        <v>11.49</v>
      </c>
      <c r="H24" s="112">
        <v>11.49</v>
      </c>
      <c r="I24" s="112">
        <v>11.49</v>
      </c>
      <c r="J24" s="112">
        <v>11.49</v>
      </c>
      <c r="K24" s="70">
        <f>IF(AND(Авто_Калькулятор!$B$4=C24, OR(Авто_Калькулятор!$E$12=$D$23,Авто_Калькулятор!$E$12=$E$23)),0,
IF(AND(Авто_Калькулятор!$B$4=C24,OR(Авто_Калькулятор!$E$12=$F$23,)),0,0))</f>
        <v>0</v>
      </c>
      <c r="L24" s="52">
        <f>IF(Авто_Калькулятор!$E$12=D23,0%,IF(OR(Авто_Калькулятор!$E$12=E23,Авто_Калькулятор!$E$12=F23),0%,0%))</f>
        <v>0</v>
      </c>
      <c r="M24" s="74" t="s">
        <v>89</v>
      </c>
      <c r="R24" s="69" t="str">
        <f>A168</f>
        <v>Lada Finance</v>
      </c>
    </row>
    <row r="25" spans="1:18" x14ac:dyDescent="0.25">
      <c r="A25" s="312"/>
      <c r="B25" s="47">
        <f>IF(AND(Авто_Калькулятор!$B$4=C25,Авто_Калькулятор!$E$12=$D$23),D25,
IF(AND(Авто_Калькулятор!$B$4=C25,Авто_Калькулятор!$E$12=$E$23),E25,
IF(AND(Авто_Калькулятор!$B$4=C25,Авто_Калькулятор!$E$12=$F$23),F25,
IF(AND(Авто_Калькулятор!$B$4=C25,Авто_Калькулятор!$E$12=$G$23),G25,
IF(AND(Авто_Калькулятор!$B$4=C25,Авто_Калькулятор!$E$12=$H$23),H25,
IF(AND(Авто_Калькулятор!$B$4=C25,Авто_Калькулятор!$E$12=$I$23),I25,
IF(AND(Авто_Калькулятор!$B$4=C25,Авто_Калькулятор!$E$12=$J$23),J25,0)))))))</f>
        <v>0</v>
      </c>
      <c r="C25" s="11" t="s">
        <v>49</v>
      </c>
      <c r="D25" s="112">
        <v>10.489999999999998</v>
      </c>
      <c r="E25" s="112">
        <v>10.489999999999998</v>
      </c>
      <c r="F25" s="112">
        <v>10.489999999999998</v>
      </c>
      <c r="G25" s="112">
        <v>10.489999999999998</v>
      </c>
      <c r="H25" s="112">
        <v>10.489999999999998</v>
      </c>
      <c r="I25" s="112">
        <v>10.489999999999998</v>
      </c>
      <c r="J25" s="112">
        <v>10.489999999999998</v>
      </c>
      <c r="K25" s="70">
        <f>IF(AND(Авто_Калькулятор!$B$4=C25, OR(Авто_Калькулятор!$E$12=$D$23,Авто_Калькулятор!$E$12=$E$23)),0,
IF(AND(Авто_Калькулятор!$B$4=C25,OR(Авто_Калькулятор!$E$12=$F$23,)),0,0))</f>
        <v>0</v>
      </c>
      <c r="L25" s="56"/>
      <c r="M25" s="58"/>
      <c r="R25" s="69" t="str">
        <f>A189</f>
        <v>Кредо Старт</v>
      </c>
    </row>
    <row r="26" spans="1:18" x14ac:dyDescent="0.25">
      <c r="A26" s="312"/>
      <c r="B26" s="47">
        <f>IF(AND(Авто_Калькулятор!$B$4=C26,Авто_Калькулятор!$E$12=$D$23),D26,
IF(AND(Авто_Калькулятор!$B$4=C26,Авто_Калькулятор!$E$12=$E$23),E26,
IF(AND(Авто_Калькулятор!$B$4=C26,Авто_Калькулятор!$E$12=$F$23),F26,
IF(AND(Авто_Калькулятор!$B$4=C26,Авто_Калькулятор!$E$12=$G$23),G26,
IF(AND(Авто_Калькулятор!$B$4=C26,Авто_Калькулятор!$E$12=$H$23),H26,
IF(AND(Авто_Калькулятор!$B$4=C26,Авто_Калькулятор!$E$12=$I$23),I26,
IF(AND(Авто_Калькулятор!$B$4=C26,Авто_Калькулятор!$E$12=$J$23),J26,0)))))))</f>
        <v>0</v>
      </c>
      <c r="C26" s="11" t="s">
        <v>50</v>
      </c>
      <c r="D26" s="112">
        <v>10.489999999999998</v>
      </c>
      <c r="E26" s="112">
        <v>10.489999999999998</v>
      </c>
      <c r="F26" s="112">
        <v>10.489999999999998</v>
      </c>
      <c r="G26" s="112">
        <v>10.489999999999998</v>
      </c>
      <c r="H26" s="112">
        <v>10.489999999999998</v>
      </c>
      <c r="I26" s="112">
        <v>10.489999999999998</v>
      </c>
      <c r="J26" s="112">
        <v>10.489999999999998</v>
      </c>
      <c r="K26" s="70">
        <f>IF(AND(Авто_Калькулятор!$B$4=C26, OR(Авто_Калькулятор!$E$12=$D$23,Авто_Калькулятор!$E$12=$E$23)),0,
IF(AND(Авто_Калькулятор!$B$4=C26,OR(Авто_Калькулятор!$E$12=$F$23,)),0,0))</f>
        <v>0</v>
      </c>
      <c r="L26" s="92"/>
      <c r="M26" s="58"/>
      <c r="R26" s="69" t="str">
        <f>A198</f>
        <v>Kredo Hyundai Grace Plus</v>
      </c>
    </row>
    <row r="27" spans="1:18" ht="15.75" thickBot="1" x14ac:dyDescent="0.3">
      <c r="A27" s="312"/>
      <c r="B27" s="47">
        <f>IF(AND(Авто_Калькулятор!$B$4=C27,Авто_Калькулятор!$E$12=$D$23),D27,
IF(AND(Авто_Калькулятор!$B$4=C27,Авто_Калькулятор!$E$12=$E$23),E27,
IF(AND(Авто_Калькулятор!$B$4=C27,Авто_Калькулятор!$E$12=$F$23),F27,
IF(AND(Авто_Калькулятор!$B$4=C27,Авто_Калькулятор!$E$12=$G$23),G27,
IF(AND(Авто_Калькулятор!$B$4=C27,Авто_Калькулятор!$E$12=$H$23),H27,
IF(AND(Авто_Калькулятор!$B$4=C27,Авто_Калькулятор!$E$12=$I$23),I27,
IF(AND(Авто_Калькулятор!$B$4=C27,Авто_Калькулятор!$E$12=$J$23),J27,0)))))))</f>
        <v>0</v>
      </c>
      <c r="C27" s="11" t="s">
        <v>51</v>
      </c>
      <c r="D27" s="112">
        <v>9.49</v>
      </c>
      <c r="E27" s="112">
        <v>9.49</v>
      </c>
      <c r="F27" s="112">
        <v>9.49</v>
      </c>
      <c r="G27" s="112">
        <v>9.49</v>
      </c>
      <c r="H27" s="112">
        <v>9.49</v>
      </c>
      <c r="I27" s="112">
        <v>9.49</v>
      </c>
      <c r="J27" s="112">
        <v>9.49</v>
      </c>
      <c r="K27" s="70">
        <f>IF(AND(Авто_Калькулятор!$B$4=C27, OR(Авто_Калькулятор!$E$12=$D$23,Авто_Калькулятор!$E$12=$E$23)),0,
IF(AND(Авто_Калькулятор!$B$4=C27,OR(Авто_Калькулятор!$E$12=$F$23,)),0,0))</f>
        <v>0</v>
      </c>
      <c r="L27" s="56"/>
      <c r="M27" s="58"/>
      <c r="R27" s="91" t="str">
        <f>A177</f>
        <v>Для працівників та партнерів</v>
      </c>
    </row>
    <row r="28" spans="1:18" x14ac:dyDescent="0.25">
      <c r="A28" s="312"/>
      <c r="B28" s="47">
        <f>IF(AND(Авто_Калькулятор!$B$4=C28,Авто_Калькулятор!$E$12=$D$23),D28,
IF(AND(Авто_Калькулятор!$B$4=C28,Авто_Калькулятор!$E$12=$E$23),E28,
IF(AND(Авто_Калькулятор!$B$4=C28,Авто_Калькулятор!$E$12=$F$23),F28,
IF(AND(Авто_Калькулятор!$B$4=C28,Авто_Калькулятор!$E$12=$G$23),G28,
IF(AND(Авто_Калькулятор!$B$4=C28,Авто_Калькулятор!$E$12=$H$23),H28,
IF(AND(Авто_Калькулятор!$B$4=C28,Авто_Калькулятор!$E$12=$I$23),I28,
IF(AND(Авто_Калькулятор!$B$4=C28,Авто_Калькулятор!$E$12=$J$23),J28,0)))))))</f>
        <v>0</v>
      </c>
      <c r="C28" s="11" t="s">
        <v>52</v>
      </c>
      <c r="D28" s="112">
        <v>9.49</v>
      </c>
      <c r="E28" s="112">
        <v>9.49</v>
      </c>
      <c r="F28" s="112">
        <v>9.49</v>
      </c>
      <c r="G28" s="112">
        <v>9.49</v>
      </c>
      <c r="H28" s="112">
        <v>9.49</v>
      </c>
      <c r="I28" s="112">
        <v>9.49</v>
      </c>
      <c r="J28" s="112">
        <v>9.49</v>
      </c>
      <c r="K28" s="70">
        <f>IF(AND(Авто_Калькулятор!$B$4=C28, OR(Авто_Калькулятор!$E$12=$D$23,Авто_Калькулятор!$E$12=$E$23)),0,
IF(AND(Авто_Калькулятор!$B$4=C28,OR(Авто_Калькулятор!$E$12=$F$23,)),0,0))</f>
        <v>0</v>
      </c>
      <c r="L28" s="56"/>
      <c r="M28" s="58"/>
    </row>
    <row r="29" spans="1:18" ht="15.75" thickBot="1" x14ac:dyDescent="0.3">
      <c r="A29" s="312"/>
      <c r="B29" s="47">
        <f>IF(AND(Авто_Калькулятор!$B$4=C29,Авто_Калькулятор!$E$12=$D$23),D29,
IF(AND(Авто_Калькулятор!$B$4=C29,Авто_Калькулятор!$E$12=$E$23),E29,
IF(AND(Авто_Калькулятор!$B$4=C29,Авто_Калькулятор!$E$12=$F$23),F29,
IF(AND(Авто_Калькулятор!$B$4=C29,Авто_Калькулятор!$E$12=$G$23),G29,
IF(AND(Авто_Калькулятор!$B$4=C29,Авто_Калькулятор!$E$12=$H$23),H29,
IF(AND(Авто_Калькулятор!$B$4=C29,Авто_Калькулятор!$E$12=$I$23),I29,
IF(AND(Авто_Калькулятор!$B$4=C29,Авто_Калькулятор!$E$12=$J$23),J29,0)))))))</f>
        <v>0</v>
      </c>
      <c r="C29" s="59" t="s">
        <v>53</v>
      </c>
      <c r="D29" s="112">
        <v>8.49</v>
      </c>
      <c r="E29" s="112">
        <v>8.49</v>
      </c>
      <c r="F29" s="112">
        <v>8.49</v>
      </c>
      <c r="G29" s="112">
        <v>8.49</v>
      </c>
      <c r="H29" s="112">
        <v>8.49</v>
      </c>
      <c r="I29" s="112">
        <v>8.49</v>
      </c>
      <c r="J29" s="112">
        <v>8.49</v>
      </c>
      <c r="K29" s="70">
        <f>IF(AND(Авто_Калькулятор!$B$4=C29, OR(Авто_Калькулятор!$E$12=$D$23,Авто_Калькулятор!$E$12=$E$23)),0,
IF(AND(Авто_Калькулятор!$B$4=C29,OR(Авто_Калькулятор!$E$12=$F$23,)),0,0))</f>
        <v>0</v>
      </c>
      <c r="L29" s="56"/>
      <c r="M29" s="58"/>
    </row>
    <row r="30" spans="1:18" ht="15.75" thickBot="1" x14ac:dyDescent="0.3">
      <c r="A30" s="313"/>
      <c r="B30" s="71">
        <f>SUM(B24:B29)</f>
        <v>0</v>
      </c>
      <c r="C30" s="60"/>
      <c r="D30" s="93"/>
      <c r="E30" s="93"/>
      <c r="F30" s="93"/>
      <c r="G30" s="93"/>
      <c r="H30" s="93"/>
      <c r="I30" s="93"/>
      <c r="J30" s="93"/>
      <c r="K30" s="72">
        <f>SUM(K24:K29)</f>
        <v>0</v>
      </c>
      <c r="L30" s="60"/>
      <c r="M30" s="61"/>
    </row>
    <row r="31" spans="1:18" ht="15.75" x14ac:dyDescent="0.25">
      <c r="A31" s="302" t="s">
        <v>55</v>
      </c>
      <c r="B31" s="62" t="s">
        <v>26</v>
      </c>
      <c r="C31" s="63" t="s">
        <v>27</v>
      </c>
      <c r="D31" s="94">
        <v>12</v>
      </c>
      <c r="E31" s="94">
        <v>24</v>
      </c>
      <c r="F31" s="94">
        <v>36</v>
      </c>
      <c r="G31" s="94">
        <v>48</v>
      </c>
      <c r="H31" s="94">
        <v>60</v>
      </c>
      <c r="I31" s="94">
        <v>72</v>
      </c>
      <c r="J31" s="94">
        <v>84</v>
      </c>
      <c r="K31" s="46" t="s">
        <v>46</v>
      </c>
      <c r="L31" s="65" t="s">
        <v>28</v>
      </c>
      <c r="M31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37,IF(Авто_Калькулятор!$V$23&gt;=50,C36,IF(Авто_Калькулятор!$V$23&gt;=40,C35,IF(Авто_Калькулятор!$V$23&gt;=30,C34,IF(Авто_Калькулятор!$V$23&gt;=20,C33,IF(Авто_Калькулятор!$V$23&gt;=10,C32,))))))))&amp;IF(AND(Авто_Калькулятор!$V$23&lt;10,Авто_Калькулятор!$V$23&gt;0),"Сума авансового платежу недостатня","")</f>
        <v/>
      </c>
    </row>
    <row r="32" spans="1:18" x14ac:dyDescent="0.25">
      <c r="A32" s="303"/>
      <c r="B32" s="47">
        <f>IF(AND(Авто_Калькулятор!$B$4=C32,Авто_Калькулятор!$E$12=$D$31),D32,
IF(AND(Авто_Калькулятор!$B$4=C32,Авто_Калькулятор!$E$12=$E$31),E32,
IF(AND(Авто_Калькулятор!$B$4=C32,Авто_Калькулятор!$E$12=$F$31),F32,
IF(AND(Авто_Калькулятор!$B$4=C32,Авто_Калькулятор!$E$12=$G$31),G32,
IF(AND(Авто_Калькулятор!$B$4=C32,Авто_Калькулятор!$E$12=$H$31),H32,
IF(AND(Авто_Калькулятор!$B$4=C32,Авто_Калькулятор!$E$12=$I$31),I32,
IF(AND(Авто_Калькулятор!$B$4=C32,Авто_Калькулятор!$E$12=$J$31),J32,0)))))))</f>
        <v>0</v>
      </c>
      <c r="C32" s="11" t="s">
        <v>56</v>
      </c>
      <c r="D32" s="104">
        <v>0.01</v>
      </c>
      <c r="E32" s="104">
        <v>2.9899999999999998</v>
      </c>
      <c r="F32" s="104">
        <v>2.9899999999999998</v>
      </c>
      <c r="G32" s="104">
        <v>8.99</v>
      </c>
      <c r="H32" s="104">
        <v>8.99</v>
      </c>
      <c r="I32" s="104">
        <v>8.99</v>
      </c>
      <c r="J32" s="104">
        <v>9.99</v>
      </c>
      <c r="K32" s="70">
        <f>IF(AND(Авто_Калькулятор!$B$4=C32, OR(Авто_Калькулятор!$E$12=$D$31,)),0.0199,
IF(AND(Авто_Калькулятор!$B$4=C32,OR(Авто_Калькулятор!$E$12=$E$31,)),0,0))</f>
        <v>0</v>
      </c>
      <c r="L32" s="106">
        <f>IF(Авто_Калькулятор!$E$12=D31,1.99%,IF(OR(Авто_Калькулятор!$E$12=E31,Авто_Калькулятор!$E$12=F31),1.99%,0%))</f>
        <v>0</v>
      </c>
      <c r="M32" s="58" t="s">
        <v>89</v>
      </c>
    </row>
    <row r="33" spans="1:13" x14ac:dyDescent="0.25">
      <c r="A33" s="303"/>
      <c r="B33" s="47">
        <f>IF(AND(Авто_Калькулятор!$B$4=C33,Авто_Калькулятор!$E$12=$D$31),D33,
IF(AND(Авто_Калькулятор!$B$4=C33,Авто_Калькулятор!$E$12=$E$31),E33,
IF(AND(Авто_Калькулятор!$B$4=C33,Авто_Калькулятор!$E$12=$F$31),F33,
IF(AND(Авто_Калькулятор!$B$4=C33,Авто_Калькулятор!$E$12=$G$31),G33,
IF(AND(Авто_Калькулятор!$B$4=C33,Авто_Калькулятор!$E$12=$H$31),H33,
IF(AND(Авто_Калькулятор!$B$4=C33,Авто_Калькулятор!$E$12=$I$31),I33,
IF(AND(Авто_Калькулятор!$B$4=C33,Авто_Калькулятор!$E$12=$J$31),J33,0)))))))</f>
        <v>0</v>
      </c>
      <c r="C33" s="11" t="s">
        <v>57</v>
      </c>
      <c r="D33" s="104">
        <v>0.01</v>
      </c>
      <c r="E33" s="104">
        <v>0.01</v>
      </c>
      <c r="F33" s="104">
        <v>4.99</v>
      </c>
      <c r="G33" s="104">
        <v>7.99</v>
      </c>
      <c r="H33" s="104">
        <v>7.99</v>
      </c>
      <c r="I33" s="104">
        <v>8.99</v>
      </c>
      <c r="J33" s="104">
        <v>9.99</v>
      </c>
      <c r="K33" s="70">
        <f>IF(AND(Авто_Калькулятор!$B$4=C33, OR(Авто_Калькулятор!$E$12=$D$31,)),0.0199,
IF(AND(Авто_Калькулятор!$B$4=C33,OR(Авто_Калькулятор!$E$12=$E$31,)),0.0099,0))</f>
        <v>0</v>
      </c>
      <c r="L33" s="56"/>
      <c r="M33" s="58"/>
    </row>
    <row r="34" spans="1:13" x14ac:dyDescent="0.25">
      <c r="A34" s="303"/>
      <c r="B34" s="47">
        <f>IF(AND(Авто_Калькулятор!$B$4=C34,Авто_Калькулятор!$E$12=$D$31),D34,
IF(AND(Авто_Калькулятор!$B$4=C34,Авто_Калькулятор!$E$12=$E$31),E34,
IF(AND(Авто_Калькулятор!$B$4=C34,Авто_Калькулятор!$E$12=$F$31),F34,
IF(AND(Авто_Калькулятор!$B$4=C34,Авто_Калькулятор!$E$12=$G$31),G34,
IF(AND(Авто_Калькулятор!$B$4=C34,Авто_Калькулятор!$E$12=$H$31),H34,
IF(AND(Авто_Калькулятор!$B$4=C34,Авто_Калькулятор!$E$12=$I$31),I34,
IF(AND(Авто_Калькулятор!$B$4=C34,Авто_Калькулятор!$E$12=$J$31),J34,0)))))))</f>
        <v>0</v>
      </c>
      <c r="C34" s="11" t="s">
        <v>58</v>
      </c>
      <c r="D34" s="104">
        <v>0.01</v>
      </c>
      <c r="E34" s="104">
        <v>0.01</v>
      </c>
      <c r="F34" s="104">
        <v>3.9899999999999998</v>
      </c>
      <c r="G34" s="104">
        <v>6.99</v>
      </c>
      <c r="H34" s="104">
        <v>6.99</v>
      </c>
      <c r="I34" s="104">
        <v>7.99</v>
      </c>
      <c r="J34" s="104">
        <v>8.99</v>
      </c>
      <c r="K34" s="70">
        <f>IF(AND(Авто_Калькулятор!$B$4=C34, OR(Авто_Калькулятор!$E$12=$D$31,)),0.0199,
IF(AND(Авто_Калькулятор!$B$4=C34,OR(Авто_Калькулятор!$E$12=$E$31,)),0.0099,0))</f>
        <v>0</v>
      </c>
      <c r="L34" s="56"/>
      <c r="M34" s="58"/>
    </row>
    <row r="35" spans="1:13" x14ac:dyDescent="0.25">
      <c r="A35" s="303"/>
      <c r="B35" s="47">
        <f>IF(AND(Авто_Калькулятор!$B$4=C35,Авто_Калькулятор!$E$12=$D$31),D35,
IF(AND(Авто_Калькулятор!$B$4=C35,Авто_Калькулятор!$E$12=$E$31),E35,
IF(AND(Авто_Калькулятор!$B$4=C35,Авто_Калькулятор!$E$12=$F$31),F35,
IF(AND(Авто_Калькулятор!$B$4=C35,Авто_Калькулятор!$E$12=$G$31),G35,
IF(AND(Авто_Калькулятор!$B$4=C35,Авто_Калькулятор!$E$12=$H$31),H35,
IF(AND(Авто_Калькулятор!$B$4=C35,Авто_Калькулятор!$E$12=$I$31),I35,
IF(AND(Авто_Калькулятор!$B$4=C35,Авто_Калькулятор!$E$12=$J$31),J35,0)))))))</f>
        <v>0</v>
      </c>
      <c r="C35" s="11" t="s">
        <v>59</v>
      </c>
      <c r="D35" s="104">
        <v>0.01</v>
      </c>
      <c r="E35" s="104">
        <v>0.01</v>
      </c>
      <c r="F35" s="104">
        <v>0.01</v>
      </c>
      <c r="G35" s="104">
        <v>3.9899999999999998</v>
      </c>
      <c r="H35" s="104">
        <v>5.99</v>
      </c>
      <c r="I35" s="104">
        <v>6.99</v>
      </c>
      <c r="J35" s="104">
        <v>7.99</v>
      </c>
      <c r="K35" s="70">
        <f>IF(AND(Авто_Калькулятор!$B$4=C35, OR(Авто_Калькулятор!$E$12=$D$31,)),0.0099,
IF(AND(Авто_Калькулятор!$B$4=C35,OR(Авто_Калькулятор!$E$12=$E$31,)),0.0199,0))</f>
        <v>0</v>
      </c>
      <c r="L35" s="56"/>
      <c r="M35" s="58"/>
    </row>
    <row r="36" spans="1:13" x14ac:dyDescent="0.25">
      <c r="A36" s="303"/>
      <c r="B36" s="47">
        <f>IF(AND(Авто_Калькулятор!$B$4=C36,Авто_Калькулятор!$E$12=$D$31),D36,
IF(AND(Авто_Калькулятор!$B$4=C36,Авто_Калькулятор!$E$12=$E$31),E36,
IF(AND(Авто_Калькулятор!$B$4=C36,Авто_Калькулятор!$E$12=$F$31),F36,
IF(AND(Авто_Калькулятор!$B$4=C36,Авто_Калькулятор!$E$12=$G$31),G36,
IF(AND(Авто_Калькулятор!$B$4=C36,Авто_Калькулятор!$E$12=$H$31),H36,
IF(AND(Авто_Калькулятор!$B$4=C36,Авто_Калькулятор!$E$12=$I$31),I36,
IF(AND(Авто_Калькулятор!$B$4=C36,Авто_Калькулятор!$E$12=$J$31),J36,0)))))))</f>
        <v>0</v>
      </c>
      <c r="C36" s="11" t="s">
        <v>60</v>
      </c>
      <c r="D36" s="104">
        <v>0.01</v>
      </c>
      <c r="E36" s="104">
        <v>0.01</v>
      </c>
      <c r="F36" s="104">
        <v>0.01</v>
      </c>
      <c r="G36" s="104">
        <v>3.9899999999999998</v>
      </c>
      <c r="H36" s="104">
        <v>4.99</v>
      </c>
      <c r="I36" s="104">
        <v>5.99</v>
      </c>
      <c r="J36" s="104">
        <v>5.99</v>
      </c>
      <c r="K36" s="70">
        <f>IF(AND(Авто_Калькулятор!$B$4=C36, OR(Авто_Калькулятор!$E$12=$D$31,)),0.0099,
IF(AND(Авто_Калькулятор!$B$4=C36,OR(Авто_Калькулятор!$E$12=$E$31,Авто_Калькулятор!$E$12=$F$31)),0.0199,0))</f>
        <v>0</v>
      </c>
      <c r="L36" s="56"/>
      <c r="M36" s="58"/>
    </row>
    <row r="37" spans="1:13" ht="15.75" thickBot="1" x14ac:dyDescent="0.3">
      <c r="A37" s="303"/>
      <c r="B37" s="47">
        <f>IF(AND(Авто_Калькулятор!$B$4=C37,Авто_Калькулятор!$E$12=$D$31),D37,
IF(AND(Авто_Калькулятор!$B$4=C37,Авто_Калькулятор!$E$12=$E$31),E37,
IF(AND(Авто_Калькулятор!$B$4=C37,Авто_Калькулятор!$E$12=$F$31),F37,
IF(AND(Авто_Калькулятор!$B$4=C37,Авто_Калькулятор!$E$12=$G$31),G37,
IF(AND(Авто_Калькулятор!$B$4=C37,Авто_Калькулятор!$E$12=$H$31),H37,
IF(AND(Авто_Калькулятор!$B$4=C37,Авто_Калькулятор!$E$12=$I$31),I37,
IF(AND(Авто_Калькулятор!$B$4=C37,Авто_Калькулятор!$E$12=$J$31),J37,0)))))))</f>
        <v>0</v>
      </c>
      <c r="C37" s="59" t="s">
        <v>61</v>
      </c>
      <c r="D37" s="104">
        <v>0.01</v>
      </c>
      <c r="E37" s="104">
        <v>0.01</v>
      </c>
      <c r="F37" s="104">
        <v>0.01</v>
      </c>
      <c r="G37" s="104">
        <v>0.9900000000000001</v>
      </c>
      <c r="H37" s="104">
        <v>0.9900000000000001</v>
      </c>
      <c r="I37" s="104">
        <v>0.9900000000000001</v>
      </c>
      <c r="J37" s="104">
        <v>0.9900000000000001</v>
      </c>
      <c r="K37" s="70">
        <f>IF(AND(Авто_Калькулятор!$B$4=C37, OR(Авто_Калькулятор!$E$12=$D$31,)),0,
IF(AND(Авто_Калькулятор!$B$4=C37,OR(Авто_Калькулятор!$E$12=$F$31,)),0.0099,0))</f>
        <v>0</v>
      </c>
      <c r="L37" s="56"/>
      <c r="M37" s="58"/>
    </row>
    <row r="38" spans="1:13" ht="15.75" thickBot="1" x14ac:dyDescent="0.3">
      <c r="A38" s="304"/>
      <c r="B38" s="72">
        <f>SUM(B32:B37)</f>
        <v>0</v>
      </c>
      <c r="C38" s="60"/>
      <c r="D38" s="93"/>
      <c r="E38" s="93"/>
      <c r="F38" s="93"/>
      <c r="G38" s="93"/>
      <c r="H38" s="93"/>
      <c r="I38" s="93"/>
      <c r="J38" s="93"/>
      <c r="K38" s="72">
        <f>SUM(K32:K37)</f>
        <v>0</v>
      </c>
      <c r="L38" s="60"/>
      <c r="M38" s="61"/>
    </row>
    <row r="39" spans="1:13" ht="15.75" x14ac:dyDescent="0.25">
      <c r="A39" s="302" t="s">
        <v>62</v>
      </c>
      <c r="B39" s="62" t="s">
        <v>26</v>
      </c>
      <c r="C39" s="63" t="s">
        <v>27</v>
      </c>
      <c r="D39" s="94">
        <v>12</v>
      </c>
      <c r="E39" s="94">
        <v>24</v>
      </c>
      <c r="F39" s="94">
        <v>36</v>
      </c>
      <c r="G39" s="94">
        <v>48</v>
      </c>
      <c r="H39" s="94">
        <v>60</v>
      </c>
      <c r="I39" s="94">
        <v>72</v>
      </c>
      <c r="J39" s="94">
        <v>84</v>
      </c>
      <c r="K39" s="46" t="s">
        <v>46</v>
      </c>
      <c r="L39" s="65" t="s">
        <v>28</v>
      </c>
      <c r="M39" s="66" t="str">
        <f>IF(Авто_Калькулятор!$V$23&gt;70,"Сума авансового платежу перевищує допустиму суму аванс по продукту",IF(Авто_Калькулятор!$V$23=100,"Сума авансового платежу дорівнює вартості авто",IF(Авто_Калькулятор!$V$23&gt;=70,C46,IF(Авто_Калькулятор!$V$23&gt;=60,C45,IF(Авто_Калькулятор!$V$23&gt;=50,C44,IF(Авто_Калькулятор!$V$23&gt;=40,C43,IF(Авто_Калькулятор!$V$23&gt;=30,C42,IF(Авто_Калькулятор!$V$23&gt;=20,C41,IF(Авто_Калькулятор!$V$23&gt;=10,C40,))))))))&amp;IF(AND(Авто_Калькулятор!$V$23&lt;10,Авто_Калькулятор!$V$23&gt;0),"Сума авансового платежу недостатня",""))</f>
        <v/>
      </c>
    </row>
    <row r="40" spans="1:13" x14ac:dyDescent="0.25">
      <c r="A40" s="303"/>
      <c r="B40" s="47">
        <f>IF(AND(Авто_Калькулятор!$B$4=C40,Авто_Калькулятор!$E$12=$D$31),D40,
IF(AND(Авто_Калькулятор!$B$4=C40,Авто_Калькулятор!$E$12=$E$31),E40,
IF(AND(Авто_Калькулятор!$B$4=C40,Авто_Калькулятор!$E$12=$F$31),F40,
IF(AND(Авто_Калькулятор!$B$4=C40,Авто_Калькулятор!$E$12=$G$31),G40,
IF(AND(Авто_Калькулятор!$B$4=C40,Авто_Калькулятор!$E$12=$H$31),H40,
IF(AND(Авто_Калькулятор!$B$4=C40,Авто_Калькулятор!$E$12=$I$31),I40,
IF(AND(Авто_Калькулятор!$B$4=C40,Авто_Калькулятор!$E$12=$J$31),J40,0)))))))</f>
        <v>0</v>
      </c>
      <c r="C40" s="11" t="s">
        <v>63</v>
      </c>
      <c r="D40" s="104">
        <v>1.49</v>
      </c>
      <c r="E40" s="104">
        <v>5.4899999999999993</v>
      </c>
      <c r="F40" s="104">
        <v>7.4899999999999993</v>
      </c>
      <c r="G40" s="104">
        <v>10.489999999999998</v>
      </c>
      <c r="H40" s="104">
        <v>10.489999999999998</v>
      </c>
      <c r="I40" s="104">
        <v>10.489999999999998</v>
      </c>
      <c r="J40" s="104">
        <v>10.489999999999998</v>
      </c>
      <c r="K40" s="105">
        <f>IF(AND(Авто_Калькулятор!$B$4=C40,OR(Авто_Калькулятор!$E$12=$D$39,Авто_Калькулятор!$E$12=$E$39,Авто_Калькулятор!$E$12=$F$39)),0.0199,0)</f>
        <v>0</v>
      </c>
      <c r="L40" s="100">
        <f>IF(Авто_Калькулятор!$E$12=D39,0%,IF(OR(Авто_Калькулятор!$E$12=E39,Авто_Калькулятор!$E$12=F39),0%,0%))</f>
        <v>0</v>
      </c>
      <c r="M40" s="74" t="s">
        <v>89</v>
      </c>
    </row>
    <row r="41" spans="1:13" x14ac:dyDescent="0.25">
      <c r="A41" s="303"/>
      <c r="B41" s="47">
        <f>IF(AND(Авто_Калькулятор!$B$4=C41,Авто_Калькулятор!$E$12=$D$31),D41,
IF(AND(Авто_Калькулятор!$B$4=C41,Авто_Калькулятор!$E$12=$E$31),E41,
IF(AND(Авто_Калькулятор!$B$4=C41,Авто_Калькулятор!$E$12=$F$31),F41,
IF(AND(Авто_Калькулятор!$B$4=C41,Авто_Калькулятор!$E$12=$G$31),G41,
IF(AND(Авто_Калькулятор!$B$4=C41,Авто_Калькулятор!$E$12=$H$31),H41,
IF(AND(Авто_Калькулятор!$B$4=C41,Авто_Калькулятор!$E$12=$I$31),I41,
IF(AND(Авто_Калькулятор!$B$4=C41,Авто_Калькулятор!$E$12=$J$31),J41,0)))))))</f>
        <v>0</v>
      </c>
      <c r="C41" s="11" t="s">
        <v>64</v>
      </c>
      <c r="D41" s="104">
        <v>0.01</v>
      </c>
      <c r="E41" s="104">
        <v>3.9899999999999998</v>
      </c>
      <c r="F41" s="104">
        <v>6.49</v>
      </c>
      <c r="G41" s="104">
        <v>10.489999999999998</v>
      </c>
      <c r="H41" s="104">
        <v>10.489999999999998</v>
      </c>
      <c r="I41" s="104">
        <v>10.489999999999998</v>
      </c>
      <c r="J41" s="104">
        <v>10.489999999999998</v>
      </c>
      <c r="K41" s="105">
        <f>IF(AND(Авто_Калькулятор!$B$4=C41,OR(Авто_Калькулятор!$E$12=$D$39,Авто_Калькулятор!$E$12=$E$39,Авто_Калькулятор!$E$12=$F$39)),0.0199,0)</f>
        <v>0</v>
      </c>
      <c r="L41" s="95"/>
      <c r="M41" s="58"/>
    </row>
    <row r="42" spans="1:13" x14ac:dyDescent="0.25">
      <c r="A42" s="303"/>
      <c r="B42" s="47">
        <f>IF(AND(Авто_Калькулятор!$B$4=C42,Авто_Калькулятор!$E$12=$D$31),D42,
IF(AND(Авто_Калькулятор!$B$4=C42,Авто_Калькулятор!$E$12=$E$31),E42,
IF(AND(Авто_Калькулятор!$B$4=C42,Авто_Калькулятор!$E$12=$F$31),F42,
IF(AND(Авто_Калькулятор!$B$4=C42,Авто_Калькулятор!$E$12=$G$31),G42,
IF(AND(Авто_Калькулятор!$B$4=C42,Авто_Калькулятор!$E$12=$H$31),H42,
IF(AND(Авто_Калькулятор!$B$4=C42,Авто_Калькулятор!$E$12=$I$31),I42,
IF(AND(Авто_Калькулятор!$B$4=C42,Авто_Калькулятор!$E$12=$J$31),J42,0)))))))</f>
        <v>0</v>
      </c>
      <c r="C42" s="11" t="s">
        <v>65</v>
      </c>
      <c r="D42" s="104">
        <v>0.01</v>
      </c>
      <c r="E42" s="104">
        <v>2.9899999999999998</v>
      </c>
      <c r="F42" s="104">
        <v>5.4899999999999993</v>
      </c>
      <c r="G42" s="104">
        <v>8.49</v>
      </c>
      <c r="H42" s="104">
        <v>8.49</v>
      </c>
      <c r="I42" s="104">
        <v>9.49</v>
      </c>
      <c r="J42" s="104">
        <v>9.49</v>
      </c>
      <c r="K42" s="105">
        <f>IF(AND(Авто_Калькулятор!$B$4=C42,OR(Авто_Калькулятор!$E$12=$D$39,Авто_Калькулятор!$E$12=$E$39,Авто_Калькулятор!$E$12=$F$39)),0.0199,0)</f>
        <v>0</v>
      </c>
      <c r="L42" s="95"/>
      <c r="M42" s="58"/>
    </row>
    <row r="43" spans="1:13" x14ac:dyDescent="0.25">
      <c r="A43" s="303"/>
      <c r="B43" s="47">
        <f>IF(AND(Авто_Калькулятор!$B$4=C43,Авто_Калькулятор!$E$12=$D$31),D43,
IF(AND(Авто_Калькулятор!$B$4=C43,Авто_Калькулятор!$E$12=$E$31),E43,
IF(AND(Авто_Калькулятор!$B$4=C43,Авто_Калькулятор!$E$12=$F$31),F43,
IF(AND(Авто_Калькулятор!$B$4=C43,Авто_Калькулятор!$E$12=$G$31),G43,
IF(AND(Авто_Калькулятор!$B$4=C43,Авто_Калькулятор!$E$12=$H$31),H43,
IF(AND(Авто_Калькулятор!$B$4=C43,Авто_Калькулятор!$E$12=$I$31),I43,
IF(AND(Авто_Калькулятор!$B$4=C43,Авто_Калькулятор!$E$12=$J$31),J43,0)))))))</f>
        <v>0</v>
      </c>
      <c r="C43" s="11" t="s">
        <v>66</v>
      </c>
      <c r="D43" s="104">
        <v>0.01</v>
      </c>
      <c r="E43" s="104">
        <v>1.49</v>
      </c>
      <c r="F43" s="104">
        <v>2.9899999999999998</v>
      </c>
      <c r="G43" s="104">
        <v>7.4899999999999993</v>
      </c>
      <c r="H43" s="104">
        <v>7.4899999999999993</v>
      </c>
      <c r="I43" s="104">
        <v>8.49</v>
      </c>
      <c r="J43" s="104">
        <v>8.49</v>
      </c>
      <c r="K43" s="105">
        <f>IF(AND(Авто_Калькулятор!$B$4=C43,OR(Авто_Калькулятор!$E$12=$D$39,Авто_Калькулятор!$E$12=$E$39,Авто_Калькулятор!$E$12=$F$39)),0.0199,0)</f>
        <v>0</v>
      </c>
      <c r="L43" s="95"/>
      <c r="M43" s="58"/>
    </row>
    <row r="44" spans="1:13" x14ac:dyDescent="0.25">
      <c r="A44" s="303"/>
      <c r="B44" s="47">
        <f>IF(AND(Авто_Калькулятор!$B$4=C44,Авто_Калькулятор!$E$12=$D$31),D44,
IF(AND(Авто_Калькулятор!$B$4=C44,Авто_Калькулятор!$E$12=$E$31),E44,
IF(AND(Авто_Калькулятор!$B$4=C44,Авто_Калькулятор!$E$12=$F$31),F44,
IF(AND(Авто_Калькулятор!$B$4=C44,Авто_Калькулятор!$E$12=$G$31),G44,
IF(AND(Авто_Калькулятор!$B$4=C44,Авто_Калькулятор!$E$12=$H$31),H44,
IF(AND(Авто_Калькулятор!$B$4=C44,Авто_Калькулятор!$E$12=$I$31),I44,
IF(AND(Авто_Калькулятор!$B$4=C44,Авто_Калькулятор!$E$12=$J$31),J44,0)))))))</f>
        <v>0</v>
      </c>
      <c r="C44" s="11" t="s">
        <v>67</v>
      </c>
      <c r="D44" s="104">
        <v>0.01</v>
      </c>
      <c r="E44" s="104">
        <v>0.01</v>
      </c>
      <c r="F44" s="104">
        <v>0.01</v>
      </c>
      <c r="G44" s="104">
        <v>6.49</v>
      </c>
      <c r="H44" s="104">
        <v>6.49</v>
      </c>
      <c r="I44" s="104">
        <v>7.4899999999999993</v>
      </c>
      <c r="J44" s="104">
        <v>7.4899999999999993</v>
      </c>
      <c r="K44" s="105">
        <f>IF(AND(Авто_Калькулятор!$B$4=C44,OR(Авто_Калькулятор!$E$12=$D$39,Авто_Калькулятор!$E$12=$E$39,Авто_Калькулятор!$E$12=$F$39)),0.0199,0)</f>
        <v>0</v>
      </c>
      <c r="L44" s="95"/>
      <c r="M44" s="58"/>
    </row>
    <row r="45" spans="1:13" x14ac:dyDescent="0.25">
      <c r="A45" s="303"/>
      <c r="B45" s="47">
        <f>IF(AND(Авто_Калькулятор!$B$4=C45,Авто_Калькулятор!$E$12=$D$31),D45,
IF(AND(Авто_Калькулятор!$B$4=C45,Авто_Калькулятор!$E$12=$E$31),E45,
IF(AND(Авто_Калькулятор!$B$4=C45,Авто_Калькулятор!$E$12=$F$31),F45,
IF(AND(Авто_Калькулятор!$B$4=C45,Авто_Калькулятор!$E$12=$G$31),G45,
IF(AND(Авто_Калькулятор!$B$4=C45,Авто_Калькулятор!$E$12=$H$31),H45,
IF(AND(Авто_Калькулятор!$B$4=C45,Авто_Калькулятор!$E$12=$I$31),I45,
IF(AND(Авто_Калькулятор!$B$4=C45,Авто_Калькулятор!$E$12=$J$31),J45,0)))))))</f>
        <v>0</v>
      </c>
      <c r="C45" s="11" t="s">
        <v>195</v>
      </c>
      <c r="D45" s="104">
        <v>0.01</v>
      </c>
      <c r="E45" s="104">
        <v>0.01</v>
      </c>
      <c r="F45" s="104">
        <v>0.01</v>
      </c>
      <c r="G45" s="104">
        <v>4.49</v>
      </c>
      <c r="H45" s="104">
        <v>4.49</v>
      </c>
      <c r="I45" s="104">
        <v>5.4899999999999993</v>
      </c>
      <c r="J45" s="104">
        <v>5.4899999999999993</v>
      </c>
      <c r="K45" s="105">
        <f>IF(AND(Авто_Калькулятор!$B$4=C45,OR(Авто_Калькулятор!$E$12=$F$39)),0.0199,0)</f>
        <v>0</v>
      </c>
      <c r="L45" s="95"/>
      <c r="M45" s="58"/>
    </row>
    <row r="46" spans="1:13" ht="15.75" thickBot="1" x14ac:dyDescent="0.3">
      <c r="A46" s="303"/>
      <c r="B46" s="47">
        <f>IF(AND(Авто_Калькулятор!$B$4=C46,Авто_Калькулятор!$E$12=$D$31),D46,
IF(AND(Авто_Калькулятор!$B$4=C46,Авто_Калькулятор!$E$12=$E$31),E46,
IF(AND(Авто_Калькулятор!$B$4=C46,Авто_Калькулятор!$E$12=$F$31),F46,
IF(AND(Авто_Калькулятор!$B$4=C46,Авто_Калькулятор!$E$12=$G$31),G46,
IF(AND(Авто_Калькулятор!$B$4=C46,Авто_Калькулятор!$E$12=$H$31),H46,
IF(AND(Авто_Калькулятор!$B$4=C46,Авто_Калькулятор!$E$12=$I$31),I46,
IF(AND(Авто_Калькулятор!$B$4=C46,Авто_Калькулятор!$E$12=$J$31),J46,0)))))))</f>
        <v>0</v>
      </c>
      <c r="C46" s="59" t="s">
        <v>196</v>
      </c>
      <c r="D46" s="104">
        <v>0.01</v>
      </c>
      <c r="E46" s="104">
        <v>0.01</v>
      </c>
      <c r="F46" s="104">
        <v>0.01</v>
      </c>
      <c r="G46" s="104">
        <v>0.01</v>
      </c>
      <c r="H46" s="104">
        <v>0.01</v>
      </c>
      <c r="I46" s="104">
        <v>1.9900000000000002</v>
      </c>
      <c r="J46" s="104">
        <v>1.9900000000000002</v>
      </c>
      <c r="K46" s="105">
        <f>IF(AND(Авто_Калькулятор!$B$4=C46,OR(Авто_Калькулятор!$E$12=$D$39,Авто_Калькулятор!$E$12=$E$39,Авто_Калькулятор!$E$12=$F$39)),0,0)</f>
        <v>0</v>
      </c>
      <c r="L46" s="95"/>
      <c r="M46" s="58"/>
    </row>
    <row r="47" spans="1:13" ht="15.75" thickBot="1" x14ac:dyDescent="0.3">
      <c r="A47" s="304"/>
      <c r="B47" s="72">
        <f>SUM(B40:B46)</f>
        <v>0</v>
      </c>
      <c r="C47" s="60"/>
      <c r="D47" s="93"/>
      <c r="E47" s="93"/>
      <c r="F47" s="93"/>
      <c r="G47" s="93"/>
      <c r="H47" s="93"/>
      <c r="I47" s="93"/>
      <c r="J47" s="93"/>
      <c r="K47" s="72">
        <f>SUM(K40:K46)</f>
        <v>0</v>
      </c>
      <c r="L47" s="60"/>
      <c r="M47" s="61"/>
    </row>
    <row r="48" spans="1:13" ht="53.25" customHeight="1" x14ac:dyDescent="0.25">
      <c r="A48" s="302" t="s">
        <v>163</v>
      </c>
      <c r="B48" s="62" t="s">
        <v>26</v>
      </c>
      <c r="C48" s="63" t="s">
        <v>27</v>
      </c>
      <c r="D48" s="94">
        <v>12</v>
      </c>
      <c r="E48" s="94">
        <v>24</v>
      </c>
      <c r="F48" s="94">
        <v>36</v>
      </c>
      <c r="G48" s="94">
        <v>48</v>
      </c>
      <c r="H48" s="94">
        <v>60</v>
      </c>
      <c r="I48" s="94">
        <v>72</v>
      </c>
      <c r="J48" s="94">
        <v>84</v>
      </c>
      <c r="K48" s="46" t="s">
        <v>46</v>
      </c>
      <c r="L48" s="65" t="s">
        <v>28</v>
      </c>
      <c r="M48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C53,IF(Авто_Калькулятор!$V$23&gt;=60,C52,IF(Авто_Калькулятор!$V$23&gt;=50,C51,IF(Авто_Калькулятор!$V$23&gt;=40,C50,IF(Авто_Калькулятор!$V$23&gt;=30,C49,"")))))))&amp;IF(AND(Авто_Калькулятор!$V$23&lt;30,Авто_Калькулятор!$V$23&gt;0),"Сума авансового платежу недостатня","")&amp;IF(AND(Авто_Калькулятор!E12&gt;Авто_Калькулятор!R3,Авто_Калькулятор!F10&lt;50,Авто_Калькулятор!F10&gt;=30)," Надання кредиту по даному продукту можливе на терміи 12 або 24 місяці",IF(AND(Авто_Калькулятор!E12&gt;Авто_Калькулятор!R4,Авто_Калькулятор!F10&lt;70,Авто_Калькулятор!F10&gt;=50)," Надання кредиту по даному продукту можливе на терміни 12,24 або 36 місяців",IF(AND(Авто_Калькулятор!E12&gt;Авто_Калькулятор!R6,Авто_Калькулятор!F10&gt;=70)," Надання кредиту по даному продукту можливе на терміни від 12 до 60 місяців","")))</f>
        <v/>
      </c>
    </row>
    <row r="49" spans="1:13" x14ac:dyDescent="0.25">
      <c r="A49" s="303"/>
      <c r="B49" s="47">
        <f>IF(AND(Авто_Калькулятор!$B$4=C49,Авто_Калькулятор!$E$12=$D$48),D49,
IF(AND(Авто_Калькулятор!$B$4=C49,Авто_Калькулятор!$E$12=$E$48),E49,
IF(AND(Авто_Калькулятор!$B$4=C49,Авто_Калькулятор!$E$12=$F$48),F49,
IF(AND(Авто_Калькулятор!$B$4=C49,Авто_Калькулятор!$E$12=$G$48),G49,
IF(AND(Авто_Калькулятор!$B$4=C49,Авто_Калькулятор!$E$12=$H$48),H49,
IF(AND(Авто_Калькулятор!$B$4=C49,Авто_Калькулятор!$E$12=$I$48),I49,
IF(AND(Авто_Калькулятор!$B$4=C49,Авто_Калькулятор!$E$12=$J$48),J49,0)))))))</f>
        <v>0</v>
      </c>
      <c r="C49" s="11" t="s">
        <v>159</v>
      </c>
      <c r="D49" s="107">
        <v>1E-3</v>
      </c>
      <c r="E49" s="107">
        <v>1E-3</v>
      </c>
      <c r="F49" s="95" t="s">
        <v>158</v>
      </c>
      <c r="G49" s="95" t="s">
        <v>158</v>
      </c>
      <c r="H49" s="95" t="s">
        <v>158</v>
      </c>
      <c r="I49" s="95" t="s">
        <v>158</v>
      </c>
      <c r="J49" s="95" t="s">
        <v>158</v>
      </c>
      <c r="K49" s="70">
        <f>IF(AND(Авто_Калькулятор!$B$4=C49, OR(Авто_Калькулятор!$E$12=$D$48,Авто_Калькулятор!$E$12=$E$48,Авто_Калькулятор!$E$12=$F$48)),0,
IF(AND(Авто_Калькулятор!$B$4=C49,OR(Авто_Калькулятор!$E$12=$G$48,Авто_Калькулятор!$E$12=$H$48,Авто_Калькулятор!$E$12=$I$48,Авто_Калькулятор!$E$12=$J$48)),0,0))</f>
        <v>0</v>
      </c>
      <c r="L49" s="52">
        <f>IF(Авто_Калькулятор!$E$12=D48,0%,IF(OR(Авто_Калькулятор!$E$12=E48,Авто_Калькулятор!$E$12=F48),0%,0%))</f>
        <v>0</v>
      </c>
      <c r="M49" s="74" t="s">
        <v>89</v>
      </c>
    </row>
    <row r="50" spans="1:13" x14ac:dyDescent="0.25">
      <c r="A50" s="303"/>
      <c r="B50" s="47">
        <f>IF(AND(Авто_Калькулятор!$B$4=C50,Авто_Калькулятор!$E$12=$D$48),D50,
IF(AND(Авто_Калькулятор!$B$4=C50,Авто_Калькулятор!$E$12=$E$48),E50,
IF(AND(Авто_Калькулятор!$B$4=C50,Авто_Калькулятор!$E$12=$F$48),F50,
IF(AND(Авто_Калькулятор!$B$4=C50,Авто_Калькулятор!$E$12=$G$48),G50,
IF(AND(Авто_Калькулятор!$B$4=C50,Авто_Калькулятор!$E$12=$H$48),H50,
IF(AND(Авто_Калькулятор!$B$4=C50,Авто_Калькулятор!$E$12=$I$48),I50,
IF(AND(Авто_Калькулятор!$B$4=C50,Авто_Калькулятор!$E$12=$J$48),J50,0)))))))</f>
        <v>0</v>
      </c>
      <c r="C50" s="11" t="s">
        <v>160</v>
      </c>
      <c r="D50" s="107">
        <v>1E-3</v>
      </c>
      <c r="E50" s="107">
        <v>1E-3</v>
      </c>
      <c r="F50" s="95" t="s">
        <v>158</v>
      </c>
      <c r="G50" s="95" t="s">
        <v>158</v>
      </c>
      <c r="H50" s="95" t="s">
        <v>158</v>
      </c>
      <c r="I50" s="95" t="s">
        <v>158</v>
      </c>
      <c r="J50" s="95" t="s">
        <v>158</v>
      </c>
      <c r="K50" s="70">
        <f>IF(AND(Авто_Калькулятор!$B$4=C50, OR(Авто_Калькулятор!$E$12=$D$48,Авто_Калькулятор!$E$12=$E$48,Авто_Калькулятор!$E$12=$F$48)),0,
IF(AND(Авто_Калькулятор!$B$4=C50,OR(Авто_Калькулятор!$E$12=$G$48,Авто_Калькулятор!$E$12=$H$48,Авто_Калькулятор!$E$12=$I$48,Авто_Калькулятор!$E$12=$J$48)),0,0))</f>
        <v>0</v>
      </c>
      <c r="L50" s="56"/>
      <c r="M50" s="58"/>
    </row>
    <row r="51" spans="1:13" x14ac:dyDescent="0.25">
      <c r="A51" s="303"/>
      <c r="B51" s="47">
        <f>IF(AND(Авто_Калькулятор!$B$4=C51,Авто_Калькулятор!$E$12=$D$48),D51,
IF(AND(Авто_Калькулятор!$B$4=C51,Авто_Калькулятор!$E$12=$E$48),E51,
IF(AND(Авто_Калькулятор!$B$4=C51,Авто_Калькулятор!$E$12=$F$48),F51,
IF(AND(Авто_Калькулятор!$B$4=C51,Авто_Калькулятор!$E$12=$G$48),G51,
IF(AND(Авто_Калькулятор!$B$4=C51,Авто_Калькулятор!$E$12=$H$48),H51,
IF(AND(Авто_Калькулятор!$B$4=C51,Авто_Калькулятор!$E$12=$I$48),I51,
IF(AND(Авто_Калькулятор!$B$4=C51,Авто_Калькулятор!$E$12=$J$48),J51,0)))))))</f>
        <v>0</v>
      </c>
      <c r="C51" s="11" t="s">
        <v>161</v>
      </c>
      <c r="D51" s="107">
        <v>1E-3</v>
      </c>
      <c r="E51" s="107">
        <v>1E-3</v>
      </c>
      <c r="F51" s="107">
        <v>1E-3</v>
      </c>
      <c r="G51" s="95" t="s">
        <v>158</v>
      </c>
      <c r="H51" s="95" t="s">
        <v>158</v>
      </c>
      <c r="I51" s="95" t="s">
        <v>158</v>
      </c>
      <c r="J51" s="95" t="s">
        <v>158</v>
      </c>
      <c r="K51" s="70">
        <f>IF(AND(Авто_Калькулятор!$B$4=C51, OR(Авто_Калькулятор!$E$12=$D$48,Авто_Калькулятор!$E$12=$E$48,Авто_Калькулятор!$E$12=$F$48)),0,
IF(AND(Авто_Калькулятор!$B$4=C51,OR(Авто_Калькулятор!$E$12=$G$48,Авто_Калькулятор!$E$12=$H$48,Авто_Калькулятор!$E$12=$I$48,Авто_Калькулятор!$E$12=$J$48)),0,0))</f>
        <v>0</v>
      </c>
      <c r="L51" s="56"/>
      <c r="M51" s="58"/>
    </row>
    <row r="52" spans="1:13" x14ac:dyDescent="0.25">
      <c r="A52" s="303"/>
      <c r="B52" s="47">
        <f>IF(AND(Авто_Калькулятор!$B$4=C52,Авто_Калькулятор!$E$12=$D$48),D52,
IF(AND(Авто_Калькулятор!$B$4=C52,Авто_Калькулятор!$E$12=$E$48),E52,
IF(AND(Авто_Калькулятор!$B$4=C52,Авто_Калькулятор!$E$12=$F$48),F52,
IF(AND(Авто_Калькулятор!$B$4=C52,Авто_Калькулятор!$E$12=$G$48),G52,
IF(AND(Авто_Калькулятор!$B$4=C52,Авто_Калькулятор!$E$12=$H$48),H52,
IF(AND(Авто_Калькулятор!$B$4=C52,Авто_Калькулятор!$E$12=$I$48),I52,
IF(AND(Авто_Калькулятор!$B$4=C52,Авто_Калькулятор!$E$12=$J$48),J52,0)))))))</f>
        <v>0</v>
      </c>
      <c r="C52" s="59" t="s">
        <v>162</v>
      </c>
      <c r="D52" s="107">
        <v>1E-3</v>
      </c>
      <c r="E52" s="107">
        <v>1E-3</v>
      </c>
      <c r="F52" s="107">
        <v>1E-3</v>
      </c>
      <c r="G52" s="95" t="s">
        <v>158</v>
      </c>
      <c r="H52" s="95" t="s">
        <v>158</v>
      </c>
      <c r="I52" s="95" t="s">
        <v>158</v>
      </c>
      <c r="J52" s="95" t="s">
        <v>158</v>
      </c>
      <c r="K52" s="70">
        <f>IF(AND(Авто_Калькулятор!$B$4=C52, OR(Авто_Калькулятор!$E$12=$D$48,Авто_Калькулятор!$E$12=$E$48,Авто_Калькулятор!$E$12=$F$48)),0,
IF(AND(Авто_Калькулятор!$B$4=C52,OR(Авто_Калькулятор!$E$12=$G$48,Авто_Калькулятор!$E$12=$H$48,Авто_Калькулятор!$E$12=$I$48,Авто_Калькулятор!$E$12=$J$48)),0,0))</f>
        <v>0</v>
      </c>
      <c r="L52" s="56"/>
      <c r="M52" s="58"/>
    </row>
    <row r="53" spans="1:13" ht="15.75" thickBot="1" x14ac:dyDescent="0.3">
      <c r="A53" s="303"/>
      <c r="B53" s="47">
        <f>IF(AND(Авто_Калькулятор!$B$4=C53,Авто_Калькулятор!$E$12=$D$48),D53,
IF(AND(Авто_Калькулятор!$B$4=C53,Авто_Калькулятор!$E$12=$E$48),E53,
IF(AND(Авто_Калькулятор!$B$4=C53,Авто_Калькулятор!$E$12=$F$48),F53,
IF(AND(Авто_Калькулятор!$B$4=C53,Авто_Калькулятор!$E$12=$G$48),G53,
IF(AND(Авто_Калькулятор!$B$4=C53,Авто_Калькулятор!$E$12=$H$48),H53,
IF(AND(Авто_Калькулятор!$B$4=C53,Авто_Калькулятор!$E$12=$I$48),I53,
IF(AND(Авто_Калькулятор!$B$4=C53,Авто_Калькулятор!$E$12=$J$48),J53,0)))))))</f>
        <v>0</v>
      </c>
      <c r="C53" s="59" t="s">
        <v>194</v>
      </c>
      <c r="D53" s="107">
        <v>1E-3</v>
      </c>
      <c r="E53" s="107">
        <v>1E-3</v>
      </c>
      <c r="F53" s="107">
        <v>1E-3</v>
      </c>
      <c r="G53" s="107">
        <v>1E-3</v>
      </c>
      <c r="H53" s="107">
        <v>1E-3</v>
      </c>
      <c r="I53" s="95" t="s">
        <v>158</v>
      </c>
      <c r="J53" s="95" t="s">
        <v>158</v>
      </c>
      <c r="K53" s="70">
        <f>IF(AND(Авто_Калькулятор!$B$4=C53, OR(Авто_Калькулятор!$E$12=$D$48,Авто_Калькулятор!$E$12=$E$48,Авто_Калькулятор!$E$12=$F$48)),0,
IF(AND(Авто_Калькулятор!$B$4=C53,OR(Авто_Калькулятор!$E$12=$G$48,Авто_Калькулятор!$E$12=$H$48,Авто_Калькулятор!$E$12=$I$48,Авто_Калькулятор!$E$12=$J$48)),0,0))</f>
        <v>0</v>
      </c>
      <c r="L53" s="56"/>
      <c r="M53" s="58"/>
    </row>
    <row r="54" spans="1:13" ht="15.75" thickBot="1" x14ac:dyDescent="0.3">
      <c r="A54" s="304"/>
      <c r="B54" s="72">
        <f>SUM(B49:B53)</f>
        <v>0</v>
      </c>
      <c r="C54" s="60"/>
      <c r="D54" s="93"/>
      <c r="E54" s="93"/>
      <c r="F54" s="93"/>
      <c r="G54" s="93"/>
      <c r="H54" s="93"/>
      <c r="I54" s="93"/>
      <c r="J54" s="93"/>
      <c r="K54" s="72">
        <f>SUM(K49:K53)</f>
        <v>0</v>
      </c>
      <c r="L54" s="60"/>
      <c r="M54" s="61"/>
    </row>
    <row r="55" spans="1:13" ht="15.75" x14ac:dyDescent="0.25">
      <c r="A55" s="302" t="s">
        <v>75</v>
      </c>
      <c r="B55" s="62" t="s">
        <v>26</v>
      </c>
      <c r="C55" s="63" t="s">
        <v>27</v>
      </c>
      <c r="D55" s="94">
        <v>12</v>
      </c>
      <c r="E55" s="94">
        <v>24</v>
      </c>
      <c r="F55" s="94">
        <v>36</v>
      </c>
      <c r="G55" s="94">
        <v>48</v>
      </c>
      <c r="H55" s="94">
        <v>60</v>
      </c>
      <c r="I55" s="94">
        <v>72</v>
      </c>
      <c r="J55" s="94">
        <v>84</v>
      </c>
      <c r="K55" s="46" t="s">
        <v>46</v>
      </c>
      <c r="L55" s="65" t="s">
        <v>28</v>
      </c>
      <c r="M55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23&gt;=70,Аркуш1!C62,IF(Авто_Калькулятор!$V$23&gt;=60,C61,IF(Авто_Калькулятор!$V$23&gt;=50,C60,IF(Авто_Калькулятор!$V$23&gt;=40,C59,IF(Авто_Калькулятор!$V$23&gt;=30,C58,IF(Авто_Калькулятор!$V$23&gt;=20,C57,IF(Авто_Калькулятор!$V$23&gt;=10,C56,))))))))&amp;IF(AND(Авто_Калькулятор!$V$23&lt;10,Авто_Калькулятор!$V$23&gt;0),"Сума авансового платежу недостатня",""))</f>
        <v/>
      </c>
    </row>
    <row r="56" spans="1:13" x14ac:dyDescent="0.25">
      <c r="A56" s="303"/>
      <c r="B56" s="47">
        <f>IF(AND(Авто_Калькулятор!$B$4=C56,Авто_Калькулятор!$E$12=$D$55),D56,
IF(AND(Авто_Калькулятор!$B$4=C56,Авто_Калькулятор!$E$12=$E$55),E56,
IF(AND(Авто_Калькулятор!$B$4=C56,Авто_Калькулятор!$E$12=$F$55),F56,
IF(AND(Авто_Калькулятор!$B$4=C56,Авто_Калькулятор!$E$12=$G$55),G56,
IF(AND(Авто_Калькулятор!$B$4=C56,Авто_Калькулятор!$E$12=$H$55),H56,
IF(AND(Авто_Калькулятор!$B$4=C56,Авто_Калькулятор!$E$12=$I$55),I56,
IF(AND(Авто_Калькулятор!$B$4=C56,Авто_Калькулятор!$E$12=$J$55),J56,0)))))))</f>
        <v>0</v>
      </c>
      <c r="C56" s="11" t="s">
        <v>68</v>
      </c>
      <c r="D56" s="104">
        <v>10.99</v>
      </c>
      <c r="E56" s="104">
        <v>10.99</v>
      </c>
      <c r="F56" s="104">
        <v>10.99</v>
      </c>
      <c r="G56" s="104">
        <v>10.99</v>
      </c>
      <c r="H56" s="104">
        <v>10.99</v>
      </c>
      <c r="I56" s="104">
        <v>10.99</v>
      </c>
      <c r="J56" s="104">
        <v>10.99</v>
      </c>
      <c r="K56" s="105">
        <f>IF(AND(Авто_Калькулятор!$B$4=C56, OR(Авто_Калькулятор!$E$12=$D$55,Авто_Калькулятор!$E$12=$E$55,)),0,
IF(AND(Авто_Калькулятор!$B$4=C56,OR(Авто_Калькулятор!$E$12=$G$55,Авто_Калькулятор!$E$12=$H$55,Авто_Калькулятор!$E$12=$I$55,Авто_Калькулятор!$E$12=$J$55,Авто_Калькулятор!$E$12=$F$55)),0,0))</f>
        <v>0</v>
      </c>
      <c r="L56" s="100">
        <f>IF(Авто_Калькулятор!$E$12=D55,0%,IF(OR(Авто_Калькулятор!$E$12=E55,Авто_Калькулятор!$E$12=F55),0%,0%))</f>
        <v>0</v>
      </c>
      <c r="M56" s="74" t="s">
        <v>89</v>
      </c>
    </row>
    <row r="57" spans="1:13" x14ac:dyDescent="0.25">
      <c r="A57" s="303"/>
      <c r="B57" s="47">
        <f>IF(AND(Авто_Калькулятор!$B$4=C57,Авто_Калькулятор!$E$12=$D$55),D57,
IF(AND(Авто_Калькулятор!$B$4=C57,Авто_Калькулятор!$E$12=$E$55),E57,
IF(AND(Авто_Калькулятор!$B$4=C57,Авто_Калькулятор!$E$12=$F$55),F57,
IF(AND(Авто_Калькулятор!$B$4=C57,Авто_Калькулятор!$E$12=$G$55),G57,
IF(AND(Авто_Калькулятор!$B$4=C57,Авто_Калькулятор!$E$12=$H$55),H57,
IF(AND(Авто_Калькулятор!$B$4=C57,Авто_Калькулятор!$E$12=$I$55),I57,
IF(AND(Авто_Калькулятор!$B$4=C57,Авто_Калькулятор!$E$12=$J$55),J57,0)))))))</f>
        <v>0</v>
      </c>
      <c r="C57" s="11" t="s">
        <v>69</v>
      </c>
      <c r="D57" s="104">
        <v>10.99</v>
      </c>
      <c r="E57" s="104">
        <v>10.99</v>
      </c>
      <c r="F57" s="104">
        <v>10.99</v>
      </c>
      <c r="G57" s="104">
        <v>10.99</v>
      </c>
      <c r="H57" s="104">
        <v>10.99</v>
      </c>
      <c r="I57" s="104">
        <v>10.99</v>
      </c>
      <c r="J57" s="104">
        <v>10.99</v>
      </c>
      <c r="K57" s="105">
        <f>IF(AND(Авто_Калькулятор!$B$4=C57, OR(Авто_Калькулятор!$E$12=$D$55,Авто_Калькулятор!$E$12=$E$55,)),0,
IF(AND(Авто_Калькулятор!$B$4=C57,OR(Авто_Калькулятор!$E$12=$G$55,Авто_Калькулятор!$E$12=$H$55,Авто_Калькулятор!$E$12=$I$55,Авто_Калькулятор!$E$12=$J$55,Авто_Калькулятор!$E$12=$F$55)),0,0))</f>
        <v>0</v>
      </c>
      <c r="L57" s="95"/>
      <c r="M57" s="58"/>
    </row>
    <row r="58" spans="1:13" x14ac:dyDescent="0.25">
      <c r="A58" s="303"/>
      <c r="B58" s="47">
        <f>IF(AND(Авто_Калькулятор!$B$4=C58,Авто_Калькулятор!$E$12=$D$55),D58,
IF(AND(Авто_Калькулятор!$B$4=C58,Авто_Калькулятор!$E$12=$E$55),E58,
IF(AND(Авто_Калькулятор!$B$4=C58,Авто_Калькулятор!$E$12=$F$55),F58,
IF(AND(Авто_Калькулятор!$B$4=C58,Авто_Калькулятор!$E$12=$G$55),G58,
IF(AND(Авто_Калькулятор!$B$4=C58,Авто_Калькулятор!$E$12=$H$55),H58,
IF(AND(Авто_Калькулятор!$B$4=C58,Авто_Калькулятор!$E$12=$I$55),I58,
IF(AND(Авто_Калькулятор!$B$4=C58,Авто_Калькулятор!$E$12=$J$55),J58,0)))))))</f>
        <v>0</v>
      </c>
      <c r="C58" s="11" t="s">
        <v>70</v>
      </c>
      <c r="D58" s="104">
        <v>9.99</v>
      </c>
      <c r="E58" s="104">
        <v>9.99</v>
      </c>
      <c r="F58" s="104">
        <v>9.99</v>
      </c>
      <c r="G58" s="104">
        <v>9.99</v>
      </c>
      <c r="H58" s="104">
        <v>9.99</v>
      </c>
      <c r="I58" s="104">
        <v>9.99</v>
      </c>
      <c r="J58" s="104">
        <v>9.99</v>
      </c>
      <c r="K58" s="105">
        <f>IF(AND(Авто_Калькулятор!$B$4=C58, OR(Авто_Калькулятор!$E$12=$D$55,Авто_Калькулятор!$E$12=$E$55,)),0,
IF(AND(Авто_Калькулятор!$B$4=C58,OR(Авто_Калькулятор!$E$12=$G$55,Авто_Калькулятор!$E$12=$H$55,Авто_Калькулятор!$E$12=$I$55,Авто_Калькулятор!$E$12=$J$55,Авто_Калькулятор!$E$12=$F$55)),0,0))</f>
        <v>0</v>
      </c>
      <c r="L58" s="95"/>
      <c r="M58" s="58"/>
    </row>
    <row r="59" spans="1:13" x14ac:dyDescent="0.25">
      <c r="A59" s="303"/>
      <c r="B59" s="47">
        <f>IF(AND(Авто_Калькулятор!$B$4=C59,Авто_Калькулятор!$E$12=$D$55),D59,
IF(AND(Авто_Калькулятор!$B$4=C59,Авто_Калькулятор!$E$12=$E$55),E59,
IF(AND(Авто_Калькулятор!$B$4=C59,Авто_Калькулятор!$E$12=$F$55),F59,
IF(AND(Авто_Калькулятор!$B$4=C59,Авто_Калькулятор!$E$12=$G$55),G59,
IF(AND(Авто_Калькулятор!$B$4=C59,Авто_Калькулятор!$E$12=$H$55),H59,
IF(AND(Авто_Калькулятор!$B$4=C59,Авто_Калькулятор!$E$12=$I$55),I59,
IF(AND(Авто_Калькулятор!$B$4=C59,Авто_Калькулятор!$E$12=$J$55),J59,0)))))))</f>
        <v>0</v>
      </c>
      <c r="C59" s="11" t="s">
        <v>71</v>
      </c>
      <c r="D59" s="104">
        <v>8.99</v>
      </c>
      <c r="E59" s="104">
        <v>8.99</v>
      </c>
      <c r="F59" s="104">
        <v>8.99</v>
      </c>
      <c r="G59" s="104">
        <v>8.99</v>
      </c>
      <c r="H59" s="104">
        <v>8.99</v>
      </c>
      <c r="I59" s="104">
        <v>8.99</v>
      </c>
      <c r="J59" s="104">
        <v>8.99</v>
      </c>
      <c r="K59" s="105">
        <f>IF(AND(Авто_Калькулятор!$B$4=C59, OR(Авто_Калькулятор!$E$12=$D$55,Авто_Калькулятор!$E$12=$E$55,)),0,
IF(AND(Авто_Калькулятор!$B$4=C59,OR(Авто_Калькулятор!$E$12=$G$55,Авто_Калькулятор!$E$12=$H$55,Авто_Калькулятор!$E$12=$I$55,Авто_Калькулятор!$E$12=$J$55,Авто_Калькулятор!$E$12=$F$55)),0,0))</f>
        <v>0</v>
      </c>
      <c r="L59" s="95"/>
      <c r="M59" s="58"/>
    </row>
    <row r="60" spans="1:13" x14ac:dyDescent="0.25">
      <c r="A60" s="303"/>
      <c r="B60" s="47">
        <f>IF(AND(Авто_Калькулятор!$B$4=C60,Авто_Калькулятор!$E$12=$D$55),D60,
IF(AND(Авто_Калькулятор!$B$4=C60,Авто_Калькулятор!$E$12=$E$55),E60,
IF(AND(Авто_Калькулятор!$B$4=C60,Авто_Калькулятор!$E$12=$F$55),F60,
IF(AND(Авто_Калькулятор!$B$4=C60,Авто_Калькулятор!$E$12=$G$55),G60,
IF(AND(Авто_Калькулятор!$B$4=C60,Авто_Калькулятор!$E$12=$H$55),H60,
IF(AND(Авто_Калькулятор!$B$4=C60,Авто_Калькулятор!$E$12=$I$55),I60,
IF(AND(Авто_Калькулятор!$B$4=C60,Авто_Калькулятор!$E$12=$J$55),J60,0)))))))</f>
        <v>0</v>
      </c>
      <c r="C60" s="11" t="s">
        <v>72</v>
      </c>
      <c r="D60" s="104">
        <v>7.99</v>
      </c>
      <c r="E60" s="104">
        <v>7.99</v>
      </c>
      <c r="F60" s="104">
        <v>7.99</v>
      </c>
      <c r="G60" s="104">
        <v>7.99</v>
      </c>
      <c r="H60" s="104">
        <v>7.99</v>
      </c>
      <c r="I60" s="104">
        <v>7.99</v>
      </c>
      <c r="J60" s="104">
        <v>7.99</v>
      </c>
      <c r="K60" s="105">
        <f>IF(AND(Авто_Калькулятор!$B$4=C60, OR(Авто_Калькулятор!$E$12=$D$55,Авто_Калькулятор!$E$12=$E$55,)),0,
IF(AND(Авто_Калькулятор!$B$4=C60,OR(Авто_Калькулятор!$E$12=$G$55,Авто_Калькулятор!$E$12=$H$55,Авто_Калькулятор!$E$12=$I$55,Авто_Калькулятор!$E$12=$J$55,Авто_Калькулятор!$E$12=$F$55)),0,0))</f>
        <v>0</v>
      </c>
      <c r="L60" s="95"/>
      <c r="M60" s="58"/>
    </row>
    <row r="61" spans="1:13" x14ac:dyDescent="0.25">
      <c r="A61" s="303"/>
      <c r="B61" s="47">
        <f>IF(AND(Авто_Калькулятор!$B$4=C61,Авто_Калькулятор!$E$12=$D$55),D61,
IF(AND(Авто_Калькулятор!$B$4=C61,Авто_Калькулятор!$E$12=$E$55),E61,
IF(AND(Авто_Калькулятор!$B$4=C61,Авто_Калькулятор!$E$12=$F$55),F61,
IF(AND(Авто_Калькулятор!$B$4=C61,Авто_Калькулятор!$E$12=$G$55),G61,
IF(AND(Авто_Калькулятор!$B$4=C61,Авто_Калькулятор!$E$12=$H$55),H61,
IF(AND(Авто_Калькулятор!$B$4=C61,Авто_Калькулятор!$E$12=$I$55),I61,
IF(AND(Авто_Калькулятор!$B$4=C61,Авто_Калькулятор!$E$12=$J$55),J61,0)))))))</f>
        <v>0</v>
      </c>
      <c r="C61" s="59" t="s">
        <v>73</v>
      </c>
      <c r="D61" s="104">
        <v>6.99</v>
      </c>
      <c r="E61" s="104">
        <v>6.99</v>
      </c>
      <c r="F61" s="104">
        <v>6.99</v>
      </c>
      <c r="G61" s="104">
        <v>6.99</v>
      </c>
      <c r="H61" s="104">
        <v>6.99</v>
      </c>
      <c r="I61" s="104">
        <v>6.99</v>
      </c>
      <c r="J61" s="104">
        <v>6.99</v>
      </c>
      <c r="K61" s="105">
        <f>IF(AND(Авто_Калькулятор!$B$4=C61, OR(Авто_Калькулятор!$E$12=$D$55,Авто_Калькулятор!$E$12=$E$55,)),0,
IF(AND(Авто_Калькулятор!$B$4=C61,OR(Авто_Калькулятор!$E$12=$G$55,Авто_Калькулятор!$E$12=$H$55,Авто_Калькулятор!$E$12=$I$55,Авто_Калькулятор!$E$12=$J$55,Авто_Калькулятор!$E$12=$F$55)),0,0))</f>
        <v>0</v>
      </c>
      <c r="L61" s="95"/>
      <c r="M61" s="58"/>
    </row>
    <row r="62" spans="1:13" ht="15.75" thickBot="1" x14ac:dyDescent="0.3">
      <c r="A62" s="303"/>
      <c r="B62" s="47">
        <f>IF(AND(Авто_Калькулятор!$B$4=C62,Авто_Калькулятор!$E$12=$D$55),D62,
IF(AND(Авто_Калькулятор!$B$4=C62,Авто_Калькулятор!$E$12=$E$55),E62,
IF(AND(Авто_Калькулятор!$B$4=C62,Авто_Калькулятор!$E$12=$F$55),F62,
IF(AND(Авто_Калькулятор!$B$4=C62,Авто_Калькулятор!$E$12=$G$55),G62,
IF(AND(Авто_Калькулятор!$B$4=C62,Авто_Калькулятор!$E$12=$H$55),H62,
IF(AND(Авто_Калькулятор!$B$4=C62,Авто_Калькулятор!$E$12=$I$55),I62,
IF(AND(Авто_Калькулятор!$B$4=C62,Авто_Калькулятор!$E$12=$J$55),J62,0)))))))</f>
        <v>0</v>
      </c>
      <c r="C62" s="59" t="s">
        <v>74</v>
      </c>
      <c r="D62" s="104">
        <v>5.99</v>
      </c>
      <c r="E62" s="104">
        <v>5.99</v>
      </c>
      <c r="F62" s="104">
        <v>5.99</v>
      </c>
      <c r="G62" s="104">
        <v>5.99</v>
      </c>
      <c r="H62" s="104">
        <v>5.99</v>
      </c>
      <c r="I62" s="104">
        <v>5.99</v>
      </c>
      <c r="J62" s="104">
        <v>5.99</v>
      </c>
      <c r="K62" s="105">
        <f>IF(AND(Авто_Калькулятор!$B$4=C62, OR(Авто_Калькулятор!$E$12=$D$55,Авто_Калькулятор!$E$12=$E$55,)),0,
IF(AND(Авто_Калькулятор!$B$4=C62,OR(Авто_Калькулятор!$E$12=$G$55,Авто_Калькулятор!$E$12=$H$55,Авто_Калькулятор!$E$12=$I$55,Авто_Калькулятор!$E$12=$J$55,Авто_Калькулятор!$E$12=$F$55)),0,0))</f>
        <v>0</v>
      </c>
      <c r="L62" s="95"/>
      <c r="M62" s="58"/>
    </row>
    <row r="63" spans="1:13" ht="15.75" thickBot="1" x14ac:dyDescent="0.3">
      <c r="A63" s="304"/>
      <c r="B63" s="72">
        <f>SUM(B56:B62)</f>
        <v>0</v>
      </c>
      <c r="C63" s="60"/>
      <c r="D63" s="93"/>
      <c r="E63" s="93"/>
      <c r="F63" s="93"/>
      <c r="G63" s="93"/>
      <c r="H63" s="93"/>
      <c r="I63" s="93"/>
      <c r="J63" s="93"/>
      <c r="K63" s="72">
        <f>SUM(K56:K62)</f>
        <v>0</v>
      </c>
      <c r="L63" s="60"/>
      <c r="M63" s="61"/>
    </row>
    <row r="64" spans="1:13" ht="25.5" customHeight="1" x14ac:dyDescent="0.25">
      <c r="A64" s="302" t="s">
        <v>81</v>
      </c>
      <c r="B64" s="62" t="s">
        <v>26</v>
      </c>
      <c r="C64" s="63" t="s">
        <v>27</v>
      </c>
      <c r="D64" s="94">
        <v>12</v>
      </c>
      <c r="E64" s="94">
        <v>24</v>
      </c>
      <c r="F64" s="94">
        <v>36</v>
      </c>
      <c r="G64" s="94">
        <v>48</v>
      </c>
      <c r="H64" s="94">
        <v>60</v>
      </c>
      <c r="I64" s="94">
        <v>72</v>
      </c>
      <c r="J64" s="94">
        <v>84</v>
      </c>
      <c r="K64" s="46" t="s">
        <v>46</v>
      </c>
      <c r="L64" s="65" t="s">
        <v>28</v>
      </c>
      <c r="M64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69,IF(Авто_Калькулятор!$V$23&gt;=50,C68,IF(Авто_Калькулятор!$V$23&gt;=40,C67,IF(Авто_Калькулятор!$V$23&gt;=30,C66,IF(Авто_Калькулятор!$V$23&gt;=20,C65,)))))))&amp;IF(AND(Авто_Калькулятор!$V$23&lt;20,Авто_Калькулятор!$V$23&gt;0),"Сума авансового платежу недостатня","")</f>
        <v/>
      </c>
    </row>
    <row r="65" spans="1:13" x14ac:dyDescent="0.25">
      <c r="A65" s="303"/>
      <c r="B65" s="47">
        <f>IF(AND(Авто_Калькулятор!$B$4=C65,Авто_Калькулятор!$E$12=$D$64),D65,
IF(AND(Авто_Калькулятор!$B$4=C65,Авто_Калькулятор!$E$12=$E$64),E65,
IF(AND(Авто_Калькулятор!$B$4=C65,Авто_Калькулятор!$E$12=$F$64),F65,
IF(AND(Авто_Калькулятор!$B$4=C65,Авто_Калькулятор!$E$12=$G$64),G65,
IF(AND(Авто_Калькулятор!$B$4=C65,Авто_Калькулятор!$E$12=$H$64),H65,
IF(AND(Авто_Калькулятор!$B$4=C65,Авто_Калькулятор!$E$12=$I$64),I65,
IF(AND(Авто_Калькулятор!$B$4=C65,Авто_Калькулятор!$E$12=$J$64),J65,0)))))))</f>
        <v>0</v>
      </c>
      <c r="C65" s="11" t="s">
        <v>76</v>
      </c>
      <c r="D65" s="104">
        <v>4.49</v>
      </c>
      <c r="E65" s="104">
        <v>8.49</v>
      </c>
      <c r="F65" s="104">
        <v>8.99</v>
      </c>
      <c r="G65" s="104">
        <v>11.99</v>
      </c>
      <c r="H65" s="104">
        <v>12.49</v>
      </c>
      <c r="I65" s="104">
        <v>12.49</v>
      </c>
      <c r="J65" s="104">
        <v>12.49</v>
      </c>
      <c r="K65" s="70">
        <f>IF(AND(Авто_Калькулятор!$B$4=C65, OR(Авто_Калькулятор!$E$12=$D$64,Авто_Калькулятор!$E$12=$E$64,Авто_Калькулятор!$E$12=$F$64)),0.0299,
IF(AND(Авто_Калькулятор!$B$4=C65,OR(Авто_Калькулятор!$E$12=$G$64,Авто_Калькулятор!$E$12=$H$64,Авто_Калькулятор!$E$12=$I$64,Авто_Калькулятор!$E$12=$J$64)),0,0))</f>
        <v>0</v>
      </c>
      <c r="L65" s="52">
        <f>IF(Авто_Калькулятор!$E$12=D64,0%,IF(OR(Авто_Калькулятор!$E$12=E64,Авто_Калькулятор!$E$12=F64),0%,0%))</f>
        <v>0</v>
      </c>
      <c r="M65" s="74" t="s">
        <v>89</v>
      </c>
    </row>
    <row r="66" spans="1:13" x14ac:dyDescent="0.25">
      <c r="A66" s="303"/>
      <c r="B66" s="47">
        <f>IF(AND(Авто_Калькулятор!$B$4=C66,Авто_Калькулятор!$E$12=$D$64),D66,
IF(AND(Авто_Калькулятор!$B$4=C66,Авто_Калькулятор!$E$12=$E$64),E66,
IF(AND(Авто_Калькулятор!$B$4=C66,Авто_Калькулятор!$E$12=$F$64),F66,
IF(AND(Авто_Калькулятор!$B$4=C66,Авто_Калькулятор!$E$12=$G$64),G66,
IF(AND(Авто_Калькулятор!$B$4=C66,Авто_Калькулятор!$E$12=$H$64),H66,
IF(AND(Авто_Калькулятор!$B$4=C66,Авто_Калькулятор!$E$12=$I$64),I66,
IF(AND(Авто_Калькулятор!$B$4=C66,Авто_Калькулятор!$E$12=$J$64),J66,0)))))))</f>
        <v>0</v>
      </c>
      <c r="C66" s="11" t="s">
        <v>77</v>
      </c>
      <c r="D66" s="104">
        <v>1E-3</v>
      </c>
      <c r="E66" s="104">
        <v>8.49</v>
      </c>
      <c r="F66" s="104">
        <v>8.99</v>
      </c>
      <c r="G66" s="104">
        <v>11.99</v>
      </c>
      <c r="H66" s="104">
        <v>12.49</v>
      </c>
      <c r="I66" s="104">
        <v>12.49</v>
      </c>
      <c r="J66" s="104">
        <v>12.49</v>
      </c>
      <c r="K66" s="70">
        <f>IF(AND(Авто_Калькулятор!$B$4=C66, OR(Авто_Калькулятор!$E$12=$D$64,Авто_Калькулятор!$E$12=$E$64,Авто_Калькулятор!$E$12=$F$64)),0.0299,
IF(AND(Авто_Калькулятор!$B$4=C66,OR(Авто_Калькулятор!$E$12=$G$64,Авто_Калькулятор!$E$12=$H$64,Авто_Калькулятор!$E$12=$I$64,Авто_Калькулятор!$E$12=$J$64)),0,0))</f>
        <v>0</v>
      </c>
      <c r="L66" s="56"/>
      <c r="M66" s="58"/>
    </row>
    <row r="67" spans="1:13" x14ac:dyDescent="0.25">
      <c r="A67" s="303"/>
      <c r="B67" s="47">
        <f>IF(AND(Авто_Калькулятор!$B$4=C67,Авто_Калькулятор!$E$12=$D$64),D67,
IF(AND(Авто_Калькулятор!$B$4=C67,Авто_Калькулятор!$E$12=$E$64),E67,
IF(AND(Авто_Калькулятор!$B$4=C67,Авто_Калькулятор!$E$12=$F$64),F67,
IF(AND(Авто_Калькулятор!$B$4=C67,Авто_Калькулятор!$E$12=$G$64),G67,
IF(AND(Авто_Калькулятор!$B$4=C67,Авто_Калькулятор!$E$12=$H$64),H67,
IF(AND(Авто_Калькулятор!$B$4=C67,Авто_Калькулятор!$E$12=$I$64),I67,
IF(AND(Авто_Калькулятор!$B$4=C67,Авто_Калькулятор!$E$12=$J$64),J67,0)))))))</f>
        <v>0</v>
      </c>
      <c r="C67" s="11" t="s">
        <v>78</v>
      </c>
      <c r="D67" s="104">
        <v>1E-3</v>
      </c>
      <c r="E67" s="104">
        <v>6.49</v>
      </c>
      <c r="F67" s="104">
        <v>7.4899999999999993</v>
      </c>
      <c r="G67" s="104">
        <v>9.49</v>
      </c>
      <c r="H67" s="104">
        <v>9.49</v>
      </c>
      <c r="I67" s="104">
        <v>10.489999999999998</v>
      </c>
      <c r="J67" s="104">
        <v>10.489999999999998</v>
      </c>
      <c r="K67" s="70">
        <f>IF(AND(Авто_Калькулятор!$B$4=C67, OR(Авто_Калькулятор!$E$12=$D$64,Авто_Калькулятор!$E$12=$E$64,Авто_Калькулятор!$E$12=$F$64)),0.0299,
IF(AND(Авто_Калькулятор!$B$4=C67,OR(Авто_Калькулятор!$E$12=$G$64,Авто_Калькулятор!$E$12=$H$64,Авто_Калькулятор!$E$12=$I$64,Авто_Калькулятор!$E$12=$J$64)),0,0))</f>
        <v>0</v>
      </c>
      <c r="L67" s="56"/>
      <c r="M67" s="58"/>
    </row>
    <row r="68" spans="1:13" x14ac:dyDescent="0.25">
      <c r="A68" s="303"/>
      <c r="B68" s="47">
        <f>IF(AND(Авто_Калькулятор!$B$4=C68,Авто_Калькулятор!$E$12=$D$64),D68,
IF(AND(Авто_Калькулятор!$B$4=C68,Авто_Калькулятор!$E$12=$E$64),E68,
IF(AND(Авто_Калькулятор!$B$4=C68,Авто_Калькулятор!$E$12=$F$64),F68,
IF(AND(Авто_Калькулятор!$B$4=C68,Авто_Калькулятор!$E$12=$G$64),G68,
IF(AND(Авто_Калькулятор!$B$4=C68,Авто_Калькулятор!$E$12=$H$64),H68,
IF(AND(Авто_Калькулятор!$B$4=C68,Авто_Калькулятор!$E$12=$I$64),I68,
IF(AND(Авто_Калькулятор!$B$4=C68,Авто_Калькулятор!$E$12=$J$64),J68,0)))))))</f>
        <v>0</v>
      </c>
      <c r="C68" s="11" t="s">
        <v>79</v>
      </c>
      <c r="D68" s="104">
        <v>1E-3</v>
      </c>
      <c r="E68" s="104">
        <v>4.49</v>
      </c>
      <c r="F68" s="104">
        <v>6.49</v>
      </c>
      <c r="G68" s="104">
        <v>8.49</v>
      </c>
      <c r="H68" s="104">
        <v>8.49</v>
      </c>
      <c r="I68" s="104">
        <v>9.49</v>
      </c>
      <c r="J68" s="104">
        <v>9.49</v>
      </c>
      <c r="K68" s="70">
        <f>IF(AND(Авто_Калькулятор!$B$4=C68, OR(Авто_Калькулятор!$E$12=$D$64,Авто_Калькулятор!$E$12=$E$64,Авто_Калькулятор!$E$12=$F$64)),0.0299,
IF(AND(Авто_Калькулятор!$B$4=C68,OR(Авто_Калькулятор!$E$12=$G$64,Авто_Калькулятор!$E$12=$H$64,Авто_Калькулятор!$E$12=$I$64,Авто_Калькулятор!$E$12=$J$64)),0,0))</f>
        <v>0</v>
      </c>
      <c r="L68" s="56"/>
      <c r="M68" s="58"/>
    </row>
    <row r="69" spans="1:13" ht="15.75" thickBot="1" x14ac:dyDescent="0.3">
      <c r="A69" s="303"/>
      <c r="B69" s="47">
        <f>IF(AND(Авто_Калькулятор!$B$4=C69,Авто_Калькулятор!$E$12=$D$64),D69,
IF(AND(Авто_Калькулятор!$B$4=C69,Авто_Калькулятор!$E$12=$E$64),E69,
IF(AND(Авто_Калькулятор!$B$4=C69,Авто_Калькулятор!$E$12=$F$64),F69,
IF(AND(Авто_Калькулятор!$B$4=C69,Авто_Калькулятор!$E$12=$G$64),G69,
IF(AND(Авто_Калькулятор!$B$4=C69,Авто_Калькулятор!$E$12=$H$64),H69,
IF(AND(Авто_Калькулятор!$B$4=C69,Авто_Калькулятор!$E$12=$I$64),I69,
IF(AND(Авто_Калькулятор!$B$4=C69,Авто_Калькулятор!$E$12=$J$64),J69,0)))))))</f>
        <v>0</v>
      </c>
      <c r="C69" s="11" t="s">
        <v>80</v>
      </c>
      <c r="D69" s="104">
        <v>1E-3</v>
      </c>
      <c r="E69" s="104">
        <v>3.9899999999999998</v>
      </c>
      <c r="F69" s="104">
        <v>5.99</v>
      </c>
      <c r="G69" s="104">
        <v>7.4899999999999993</v>
      </c>
      <c r="H69" s="104">
        <v>7.4899999999999993</v>
      </c>
      <c r="I69" s="104">
        <v>8.49</v>
      </c>
      <c r="J69" s="104">
        <v>8.49</v>
      </c>
      <c r="K69" s="70">
        <f>IF(AND(Авто_Калькулятор!$B$4=C69, OR(Авто_Калькулятор!$E$12=$D$64,Авто_Калькулятор!$E$12=$E$64,Авто_Калькулятор!$E$12=$F$64)),0.0299,
IF(AND(Авто_Калькулятор!$B$4=C69,OR(Авто_Калькулятор!$E$12=$G$64,Авто_Калькулятор!$E$12=$H$64,Авто_Калькулятор!$E$12=$I$64,Авто_Калькулятор!$E$12=$J$64)),0,0))</f>
        <v>0</v>
      </c>
      <c r="L69" s="56"/>
      <c r="M69" s="58"/>
    </row>
    <row r="70" spans="1:13" ht="15.75" thickBot="1" x14ac:dyDescent="0.3">
      <c r="A70" s="304"/>
      <c r="B70" s="72">
        <f>SUM(B65:B69)</f>
        <v>0</v>
      </c>
      <c r="C70" s="60"/>
      <c r="D70" s="93"/>
      <c r="E70" s="93"/>
      <c r="F70" s="93"/>
      <c r="G70" s="93"/>
      <c r="H70" s="93"/>
      <c r="I70" s="93"/>
      <c r="J70" s="93"/>
      <c r="K70" s="72">
        <f>SUM(K65:K69)</f>
        <v>0</v>
      </c>
      <c r="L70" s="60"/>
      <c r="M70" s="61"/>
    </row>
    <row r="71" spans="1:13" ht="15.75" x14ac:dyDescent="0.25">
      <c r="A71" s="311" t="s">
        <v>88</v>
      </c>
      <c r="B71" s="62" t="s">
        <v>26</v>
      </c>
      <c r="C71" s="63" t="s">
        <v>27</v>
      </c>
      <c r="D71" s="94">
        <v>12</v>
      </c>
      <c r="E71" s="94">
        <v>24</v>
      </c>
      <c r="F71" s="94">
        <v>36</v>
      </c>
      <c r="G71" s="94">
        <v>48</v>
      </c>
      <c r="H71" s="94">
        <v>60</v>
      </c>
      <c r="I71" s="94">
        <v>72</v>
      </c>
      <c r="J71" s="94">
        <v>84</v>
      </c>
      <c r="K71" s="46" t="s">
        <v>46</v>
      </c>
      <c r="L71" s="65" t="s">
        <v>28</v>
      </c>
      <c r="M71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77,IF(Авто_Калькулятор!$V$23&gt;=50,C76,IF(Авто_Калькулятор!$V$23&gt;=40,C75,IF(Авто_Калькулятор!$V$23&gt;=30,C74,IF(Авто_Калькулятор!$V$23&gt;=20,C73,IF(Авто_Калькулятор!$V$23&gt;=10,C72,))))))))&amp;IF(AND(Авто_Калькулятор!$V$23&lt;10,Авто_Калькулятор!$V$23&gt;0),"Сума авансового платежу недостатня","")</f>
        <v/>
      </c>
    </row>
    <row r="72" spans="1:13" x14ac:dyDescent="0.25">
      <c r="A72" s="312"/>
      <c r="B72" s="47">
        <f>IF(AND(Авто_Калькулятор!$B$4=C72,Авто_Калькулятор!$E$12=$D$71),D72,
IF(AND(Авто_Калькулятор!$B$4=C72,Авто_Калькулятор!$E$12=$E$71),E72,
IF(AND(Авто_Калькулятор!$B$4=C72,Авто_Калькулятор!$E$12=$F$71),F72,
IF(AND(Авто_Калькулятор!$B$4=C72,Авто_Калькулятор!$E$12=$G$71),G72,
IF(AND(Авто_Калькулятор!$B$4=C72,Авто_Калькулятор!$E$12=$H$71),H72,
IF(AND(Авто_Калькулятор!$B$4=C72,Авто_Калькулятор!$E$12=$I$71),I72,
IF(AND(Авто_Калькулятор!$B$4=C72,Авто_Калькулятор!$E$12=$J$71),J72,0)))))))</f>
        <v>0</v>
      </c>
      <c r="C72" s="11" t="s">
        <v>82</v>
      </c>
      <c r="D72" s="112">
        <v>4.1900000000000004</v>
      </c>
      <c r="E72" s="112">
        <v>7.4899999999999993</v>
      </c>
      <c r="F72" s="112">
        <v>9.99</v>
      </c>
      <c r="G72" s="112">
        <v>10.99</v>
      </c>
      <c r="H72" s="112">
        <v>10.99</v>
      </c>
      <c r="I72" s="112">
        <v>10.99</v>
      </c>
      <c r="J72" s="112">
        <v>10.99</v>
      </c>
      <c r="K72" s="70">
        <f>IF(AND(Авто_Калькулятор!$B$4=C72,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IF(AND(Авто_Калькулятор!$B$4=C72,OR(Авто_Калькулятор!$E$12=$J$71)),0.0199,0))</f>
        <v>0</v>
      </c>
      <c r="L72" s="100">
        <f>IF(Авто_Калькулятор!$E$12=D71,0%,IF(OR(Авто_Калькулятор!$E$12=E71,Авто_Калькулятор!$E$12=F71),0%,0%))</f>
        <v>0</v>
      </c>
      <c r="M72" s="74" t="s">
        <v>89</v>
      </c>
    </row>
    <row r="73" spans="1:13" x14ac:dyDescent="0.25">
      <c r="A73" s="312"/>
      <c r="B73" s="47">
        <f>IF(AND(Авто_Калькулятор!$B$4=C73,Авто_Калькулятор!$E$12=$D$71),D73,
IF(AND(Авто_Калькулятор!$B$4=C73,Авто_Калькулятор!$E$12=$E$71),E73,
IF(AND(Авто_Калькулятор!$B$4=C73,Авто_Калькулятор!$E$12=$F$71),F73,
IF(AND(Авто_Калькулятор!$B$4=C73,Авто_Калькулятор!$E$12=$G$71),G73,
IF(AND(Авто_Калькулятор!$B$4=C73,Авто_Калькулятор!$E$12=$H$71),H73,
IF(AND(Авто_Калькулятор!$B$4=C73,Авто_Калькулятор!$E$12=$I$71),I73,
IF(AND(Авто_Калькулятор!$B$4=C73,Авто_Калькулятор!$E$12=$J$71),J73,0)))))))</f>
        <v>0</v>
      </c>
      <c r="C73" s="11" t="s">
        <v>83</v>
      </c>
      <c r="D73" s="112">
        <v>3.49</v>
      </c>
      <c r="E73" s="112">
        <v>7.4899999999999993</v>
      </c>
      <c r="F73" s="112">
        <v>9.99</v>
      </c>
      <c r="G73" s="112">
        <v>10.99</v>
      </c>
      <c r="H73" s="112">
        <v>10.99</v>
      </c>
      <c r="I73" s="112">
        <v>10.99</v>
      </c>
      <c r="J73" s="112">
        <v>10.99</v>
      </c>
      <c r="K73" s="70">
        <f>IF(AND(Авто_Калькулятор!$B$4=C73,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IF(AND(Авто_Калькулятор!$B$4=C73,OR(Авто_Калькулятор!$E$12=$J$71)),0.0199,0))</f>
        <v>0</v>
      </c>
      <c r="L73" s="95"/>
      <c r="M73" s="58"/>
    </row>
    <row r="74" spans="1:13" x14ac:dyDescent="0.25">
      <c r="A74" s="312"/>
      <c r="B74" s="47">
        <f>IF(AND(Авто_Калькулятор!$B$4=C74,Авто_Калькулятор!$E$12=$D$71),D74,
IF(AND(Авто_Калькулятор!$B$4=C74,Авто_Калькулятор!$E$12=$E$71),E74,
IF(AND(Авто_Калькулятор!$B$4=C74,Авто_Калькулятор!$E$12=$F$71),F74,
IF(AND(Авто_Калькулятор!$B$4=C74,Авто_Калькулятор!$E$12=$G$71),G74,
IF(AND(Авто_Калькулятор!$B$4=C74,Авто_Калькулятор!$E$12=$H$71),H74,
IF(AND(Авто_Калькулятор!$B$4=C74,Авто_Калькулятор!$E$12=$I$71),I74,
IF(AND(Авто_Калькулятор!$B$4=C74,Авто_Калькулятор!$E$12=$J$71),J74,0)))))))</f>
        <v>0</v>
      </c>
      <c r="C74" s="11" t="s">
        <v>84</v>
      </c>
      <c r="D74" s="112">
        <v>1E-3</v>
      </c>
      <c r="E74" s="112">
        <v>4.99</v>
      </c>
      <c r="F74" s="112">
        <v>9.99</v>
      </c>
      <c r="G74" s="112">
        <v>10.99</v>
      </c>
      <c r="H74" s="112">
        <v>10.99</v>
      </c>
      <c r="I74" s="112">
        <v>10.99</v>
      </c>
      <c r="J74" s="112">
        <v>10.99</v>
      </c>
      <c r="K74" s="70">
        <f>IF(AND(Авто_Калькулятор!$B$4=C74,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IF(AND(Авто_Калькулятор!$B$4=C74,OR(Авто_Калькулятор!$E$12=$J$71)),0.0199,0))</f>
        <v>0</v>
      </c>
      <c r="L74" s="92">
        <v>100</v>
      </c>
      <c r="M74" s="58"/>
    </row>
    <row r="75" spans="1:13" x14ac:dyDescent="0.25">
      <c r="A75" s="312"/>
      <c r="B75" s="47">
        <f>IF(AND(Авто_Калькулятор!$B$4=C75,Авто_Калькулятор!$E$12=$D$71),D75,
IF(AND(Авто_Калькулятор!$B$4=C75,Авто_Калькулятор!$E$12=$E$71),E75,
IF(AND(Авто_Калькулятор!$B$4=C75,Авто_Калькулятор!$E$12=$F$71),F75,
IF(AND(Авто_Калькулятор!$B$4=C75,Авто_Калькулятор!$E$12=$G$71),G75,
IF(AND(Авто_Калькулятор!$B$4=C75,Авто_Калькулятор!$E$12=$H$71),H75,
IF(AND(Авто_Калькулятор!$B$4=C75,Авто_Калькулятор!$E$12=$I$71),I75,
IF(AND(Авто_Калькулятор!$B$4=C75,Авто_Калькулятор!$E$12=$J$71),J75,0)))))))</f>
        <v>0</v>
      </c>
      <c r="C75" s="11" t="s">
        <v>85</v>
      </c>
      <c r="D75" s="112">
        <v>1E-3</v>
      </c>
      <c r="E75" s="112">
        <v>4.49</v>
      </c>
      <c r="F75" s="112">
        <v>8.49</v>
      </c>
      <c r="G75" s="112">
        <v>8.49</v>
      </c>
      <c r="H75" s="112">
        <v>8.49</v>
      </c>
      <c r="I75" s="112">
        <v>8.49</v>
      </c>
      <c r="J75" s="112">
        <v>8.49</v>
      </c>
      <c r="K75" s="70">
        <f>IF(AND(Авто_Калькулятор!$B$4=C75,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IF(AND(Авто_Калькулятор!$B$4=C75,OR(Авто_Калькулятор!$E$12=$J$71)),0.0199,0))</f>
        <v>0</v>
      </c>
      <c r="L75" s="95"/>
      <c r="M75" s="58"/>
    </row>
    <row r="76" spans="1:13" x14ac:dyDescent="0.25">
      <c r="A76" s="312"/>
      <c r="B76" s="47">
        <f>IF(AND(Авто_Калькулятор!$B$4=C76,Авто_Калькулятор!$E$12=$D$71),D76,
IF(AND(Авто_Калькулятор!$B$4=C76,Авто_Калькулятор!$E$12=$E$71),E76,
IF(AND(Авто_Калькулятор!$B$4=C76,Авто_Калькулятор!$E$12=$F$71),F76,
IF(AND(Авто_Калькулятор!$B$4=C76,Авто_Калькулятор!$E$12=$G$71),G76,
IF(AND(Авто_Калькулятор!$B$4=C76,Авто_Калькулятор!$E$12=$H$71),H76,
IF(AND(Авто_Калькулятор!$B$4=C76,Авто_Калькулятор!$E$12=$I$71),I76,
IF(AND(Авто_Калькулятор!$B$4=C76,Авто_Калькулятор!$E$12=$J$71),J76,0)))))))</f>
        <v>0</v>
      </c>
      <c r="C76" s="11" t="s">
        <v>86</v>
      </c>
      <c r="D76" s="112">
        <v>1E-3</v>
      </c>
      <c r="E76" s="112">
        <v>1E-3</v>
      </c>
      <c r="F76" s="112">
        <v>7.4899999999999993</v>
      </c>
      <c r="G76" s="112">
        <v>7.4899999999999993</v>
      </c>
      <c r="H76" s="112">
        <v>7.4899999999999993</v>
      </c>
      <c r="I76" s="112">
        <v>7.4899999999999993</v>
      </c>
      <c r="J76" s="112">
        <v>7.4899999999999993</v>
      </c>
      <c r="K76" s="70">
        <f>IF(AND(Авто_Калькулятор!$B$4=C76,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IF(AND(Авто_Калькулятор!$B$4=C76,OR(Авто_Калькулятор!$E$12=$J$71)),0.0199,0))</f>
        <v>0</v>
      </c>
      <c r="L76" s="95"/>
      <c r="M76" s="58"/>
    </row>
    <row r="77" spans="1:13" ht="15.75" thickBot="1" x14ac:dyDescent="0.3">
      <c r="A77" s="312"/>
      <c r="B77" s="47">
        <f>IF(AND(Авто_Калькулятор!$B$4=C77,Авто_Калькулятор!$E$12=$D$71),D77,
IF(AND(Авто_Калькулятор!$B$4=C77,Авто_Калькулятор!$E$12=$E$71),E77,
IF(AND(Авто_Калькулятор!$B$4=C77,Авто_Калькулятор!$E$12=$F$71),F77,
IF(AND(Авто_Калькулятор!$B$4=C77,Авто_Калькулятор!$E$12=$G$71),G77,
IF(AND(Авто_Калькулятор!$B$4=C77,Авто_Калькулятор!$E$12=$H$71),H77,
IF(AND(Авто_Калькулятор!$B$4=C77,Авто_Калькулятор!$E$12=$I$71),I77,
IF(AND(Авто_Калькулятор!$B$4=C77,Авто_Калькулятор!$E$12=$J$71),J77,0)))))))</f>
        <v>0</v>
      </c>
      <c r="C77" s="59" t="s">
        <v>87</v>
      </c>
      <c r="D77" s="112">
        <v>1E-3</v>
      </c>
      <c r="E77" s="112">
        <v>1E-3</v>
      </c>
      <c r="F77" s="112">
        <v>1E-3</v>
      </c>
      <c r="G77" s="112">
        <v>6.49</v>
      </c>
      <c r="H77" s="112">
        <v>6.49</v>
      </c>
      <c r="I77" s="112">
        <v>6.49</v>
      </c>
      <c r="J77" s="112">
        <v>6.49</v>
      </c>
      <c r="K77" s="70">
        <f>IF(AND(Авто_Калькулятор!$B$4=C77,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IF(AND(Авто_Калькулятор!$B$4=C77,OR(Авто_Калькулятор!$E$12=$J$71)),0.0199,0))</f>
        <v>0</v>
      </c>
      <c r="L77" s="95"/>
      <c r="M77" s="58"/>
    </row>
    <row r="78" spans="1:13" ht="15.75" thickBot="1" x14ac:dyDescent="0.3">
      <c r="A78" s="313"/>
      <c r="B78" s="72">
        <f>SUM(B72:B77)</f>
        <v>0</v>
      </c>
      <c r="C78" s="60"/>
      <c r="D78" s="93"/>
      <c r="E78" s="93"/>
      <c r="F78" s="93"/>
      <c r="G78" s="93"/>
      <c r="H78" s="93"/>
      <c r="I78" s="93"/>
      <c r="J78" s="93"/>
      <c r="K78" s="72">
        <f>SUM(K72:K77)</f>
        <v>0</v>
      </c>
      <c r="L78" s="60"/>
      <c r="M78" s="61"/>
    </row>
    <row r="79" spans="1:13" ht="15.75" x14ac:dyDescent="0.25">
      <c r="A79" s="308" t="s">
        <v>96</v>
      </c>
      <c r="B79" s="62" t="s">
        <v>26</v>
      </c>
      <c r="C79" s="63" t="s">
        <v>27</v>
      </c>
      <c r="D79" s="94">
        <v>12</v>
      </c>
      <c r="E79" s="94">
        <v>24</v>
      </c>
      <c r="F79" s="94">
        <v>36</v>
      </c>
      <c r="G79" s="94">
        <v>48</v>
      </c>
      <c r="H79" s="94">
        <v>60</v>
      </c>
      <c r="I79" s="94">
        <v>72</v>
      </c>
      <c r="J79" s="94">
        <v>84</v>
      </c>
      <c r="K79" s="46" t="s">
        <v>46</v>
      </c>
      <c r="L79" s="65" t="s">
        <v>28</v>
      </c>
      <c r="M79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85,IF(Авто_Калькулятор!$V$23&gt;=50,C84,IF(Авто_Калькулятор!$V$23&gt;=40,C83,IF(Авто_Калькулятор!$V$23&gt;=30,C82,IF(Авто_Калькулятор!$V$23&gt;=20,C81,IF(Авто_Калькулятор!$V$23&gt;=10,C80,))))))))&amp;IF(AND(Авто_Калькулятор!$V$23&lt;10,Авто_Калькулятор!$V$23&gt;0),"Сума авансового платежу недостатня","")</f>
        <v/>
      </c>
    </row>
    <row r="80" spans="1:13" x14ac:dyDescent="0.25">
      <c r="A80" s="309"/>
      <c r="B80" s="47">
        <f>IF(AND(Авто_Калькулятор!$B$4=C80,Авто_Калькулятор!$E$12=$D$79),D80,
IF(AND(Авто_Калькулятор!$B$4=C80,Авто_Калькулятор!$E$12=$E$79),E80,
IF(AND(Авто_Калькулятор!$B$4=C80,Авто_Калькулятор!$E$12=$F$79),F80,
IF(AND(Авто_Калькулятор!$B$4=C80,Авто_Калькулятор!$E$12=$G$79),G80,
IF(AND(Авто_Калькулятор!$B$4=C80,Авто_Калькулятор!$E$12=$H$79),H80,
IF(AND(Авто_Калькулятор!$B$4=C80,Авто_Калькулятор!$E$12=$I$79),I80,
IF(AND(Авто_Калькулятор!$B$4=C80,Авто_Калькулятор!$E$12=$J$79),J80,0)))))))</f>
        <v>0</v>
      </c>
      <c r="C80" s="11" t="s">
        <v>90</v>
      </c>
      <c r="D80" s="92">
        <v>5.99</v>
      </c>
      <c r="E80" s="92">
        <v>9.49</v>
      </c>
      <c r="F80" s="92">
        <v>11.49</v>
      </c>
      <c r="G80" s="92">
        <v>12.49</v>
      </c>
      <c r="H80" s="92">
        <v>11.99</v>
      </c>
      <c r="I80" s="92">
        <v>12.49</v>
      </c>
      <c r="J80" s="92">
        <v>12.990000000000002</v>
      </c>
      <c r="K80" s="70">
        <f>IF(AND(Авто_Калькулятор!$B$4=C80,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IF(AND(Авто_Калькулятор!$B$4=C80,OR(Авто_Калькулятор!$E$12=$D$79)),0.0199,0))</f>
        <v>0</v>
      </c>
      <c r="L80" s="52">
        <f>IF(Авто_Калькулятор!$E$12=D79,0%,0%)</f>
        <v>0</v>
      </c>
      <c r="M80" s="74" t="s">
        <v>89</v>
      </c>
    </row>
    <row r="81" spans="1:13" x14ac:dyDescent="0.25">
      <c r="A81" s="309"/>
      <c r="B81" s="47">
        <f>IF(AND(Авто_Калькулятор!$B$4=C81,Авто_Калькулятор!$E$12=$D$79),D81,
IF(AND(Авто_Калькулятор!$B$4=C81,Авто_Калькулятор!$E$12=$E$79),E81,
IF(AND(Авто_Калькулятор!$B$4=C81,Авто_Калькулятор!$E$12=$F$79),F81,
IF(AND(Авто_Калькулятор!$B$4=C81,Авто_Калькулятор!$E$12=$G$79),G81,
IF(AND(Авто_Калькулятор!$B$4=C81,Авто_Калькулятор!$E$12=$H$79),H81,
IF(AND(Авто_Калькулятор!$B$4=C81,Авто_Калькулятор!$E$12=$I$79),I81,
IF(AND(Авто_Калькулятор!$B$4=C81,Авто_Калькулятор!$E$12=$J$79),J81,0)))))))</f>
        <v>0</v>
      </c>
      <c r="C81" s="11" t="s">
        <v>91</v>
      </c>
      <c r="D81" s="92">
        <v>4.99</v>
      </c>
      <c r="E81" s="92">
        <v>9.49</v>
      </c>
      <c r="F81" s="92">
        <v>10.99</v>
      </c>
      <c r="G81" s="92">
        <v>12.49</v>
      </c>
      <c r="H81" s="92">
        <v>11.99</v>
      </c>
      <c r="I81" s="92">
        <v>12.49</v>
      </c>
      <c r="J81" s="92">
        <v>12.990000000000002</v>
      </c>
      <c r="K81" s="70">
        <f>IF(AND(Авто_Калькулятор!$B$4=C81,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IF(AND(Авто_Калькулятор!$B$4=C81,OR(Авто_Калькулятор!$E$12=$D$79)),0.0199,0))</f>
        <v>0</v>
      </c>
      <c r="L81" s="56"/>
      <c r="M81" s="58"/>
    </row>
    <row r="82" spans="1:13" x14ac:dyDescent="0.25">
      <c r="A82" s="309"/>
      <c r="B82" s="47">
        <f>IF(AND(Авто_Калькулятор!$B$4=C82,Авто_Калькулятор!$E$12=$D$79),D82,
IF(AND(Авто_Калькулятор!$B$4=C82,Авто_Калькулятор!$E$12=$E$79),E82,
IF(AND(Авто_Калькулятор!$B$4=C82,Авто_Калькулятор!$E$12=$F$79),F82,
IF(AND(Авто_Калькулятор!$B$4=C82,Авто_Калькулятор!$E$12=$G$79),G82,
IF(AND(Авто_Калькулятор!$B$4=C82,Авто_Калькулятор!$E$12=$H$79),H82,
IF(AND(Авто_Калькулятор!$B$4=C82,Авто_Калькулятор!$E$12=$I$79),I82,
IF(AND(Авто_Калькулятор!$B$4=C82,Авто_Калькулятор!$E$12=$J$79),J82,0)))))))</f>
        <v>0</v>
      </c>
      <c r="C82" s="11" t="s">
        <v>92</v>
      </c>
      <c r="D82" s="92">
        <v>3.9899999999999998</v>
      </c>
      <c r="E82" s="92">
        <v>8.99</v>
      </c>
      <c r="F82" s="92">
        <v>10.489999999999998</v>
      </c>
      <c r="G82" s="92">
        <v>11.49</v>
      </c>
      <c r="H82" s="92">
        <v>11.99</v>
      </c>
      <c r="I82" s="92">
        <v>11.49</v>
      </c>
      <c r="J82" s="92">
        <v>11.99</v>
      </c>
      <c r="K82" s="70">
        <f>IF(AND(Авто_Калькулятор!$B$4=C82,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IF(AND(Авто_Калькулятор!$B$4=C82,OR(Авто_Калькулятор!$E$12=$D$79)),0.0199,0))</f>
        <v>0</v>
      </c>
      <c r="L82" s="56"/>
      <c r="M82" s="58"/>
    </row>
    <row r="83" spans="1:13" x14ac:dyDescent="0.25">
      <c r="A83" s="309"/>
      <c r="B83" s="47">
        <f>IF(AND(Авто_Калькулятор!$B$4=C83,Авто_Калькулятор!$E$12=$D$79),D83,
IF(AND(Авто_Калькулятор!$B$4=C83,Авто_Калькулятор!$E$12=$E$79),E83,
IF(AND(Авто_Калькулятор!$B$4=C83,Авто_Калькулятор!$E$12=$F$79),F83,
IF(AND(Авто_Калькулятор!$B$4=C83,Авто_Калькулятор!$E$12=$G$79),G83,
IF(AND(Авто_Калькулятор!$B$4=C83,Авто_Калькулятор!$E$12=$H$79),H83,
IF(AND(Авто_Калькулятор!$B$4=C83,Авто_Калькулятор!$E$12=$I$79),I83,
IF(AND(Авто_Калькулятор!$B$4=C83,Авто_Калькулятор!$E$12=$J$79),J83,0)))))))</f>
        <v>0</v>
      </c>
      <c r="C83" s="11" t="s">
        <v>93</v>
      </c>
      <c r="D83" s="92">
        <v>1E-3</v>
      </c>
      <c r="E83" s="92">
        <v>7.99</v>
      </c>
      <c r="F83" s="92">
        <v>10.489999999999998</v>
      </c>
      <c r="G83" s="92">
        <v>11.49</v>
      </c>
      <c r="H83" s="92">
        <v>11.99</v>
      </c>
      <c r="I83" s="92">
        <v>11.49</v>
      </c>
      <c r="J83" s="92">
        <v>11.99</v>
      </c>
      <c r="K83" s="70">
        <f>IF(AND(Авто_Калькулятор!$B$4=C83,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IF(AND(Авто_Калькулятор!$B$4=C83,OR(Авто_Калькулятор!$E$12=$D$79)),0.0199,0))</f>
        <v>0</v>
      </c>
      <c r="L83" s="56"/>
      <c r="M83" s="58"/>
    </row>
    <row r="84" spans="1:13" x14ac:dyDescent="0.25">
      <c r="A84" s="309"/>
      <c r="B84" s="47">
        <f>IF(AND(Авто_Калькулятор!$B$4=C84,Авто_Калькулятор!$E$12=$D$79),D84,
IF(AND(Авто_Калькулятор!$B$4=C84,Авто_Калькулятор!$E$12=$E$79),E84,
IF(AND(Авто_Калькулятор!$B$4=C84,Авто_Калькулятор!$E$12=$F$79),F84,
IF(AND(Авто_Калькулятор!$B$4=C84,Авто_Калькулятор!$E$12=$G$79),G84,
IF(AND(Авто_Калькулятор!$B$4=C84,Авто_Калькулятор!$E$12=$H$79),H84,
IF(AND(Авто_Калькулятор!$B$4=C84,Авто_Калькулятор!$E$12=$I$79),I84,
IF(AND(Авто_Калькулятор!$B$4=C84,Авто_Калькулятор!$E$12=$J$79),J84,0)))))))</f>
        <v>0</v>
      </c>
      <c r="C84" s="11" t="s">
        <v>94</v>
      </c>
      <c r="D84" s="92">
        <v>1E-3</v>
      </c>
      <c r="E84" s="92">
        <v>6.49</v>
      </c>
      <c r="F84" s="92">
        <v>9.49</v>
      </c>
      <c r="G84" s="92">
        <v>10.489999999999998</v>
      </c>
      <c r="H84" s="92">
        <v>10.99</v>
      </c>
      <c r="I84" s="92">
        <v>11.49</v>
      </c>
      <c r="J84" s="92">
        <v>11.99</v>
      </c>
      <c r="K84" s="70">
        <f>IF(AND(Авто_Калькулятор!$B$4=C84,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IF(AND(Авто_Калькулятор!$B$4=C84,OR(Авто_Калькулятор!$E$12=$D$79)),0.0199,0))</f>
        <v>0</v>
      </c>
      <c r="L84" s="56"/>
      <c r="M84" s="58"/>
    </row>
    <row r="85" spans="1:13" ht="15.75" thickBot="1" x14ac:dyDescent="0.3">
      <c r="A85" s="309"/>
      <c r="B85" s="47">
        <f>IF(AND(Авто_Калькулятор!$B$4=C85,Авто_Калькулятор!$E$12=$D$79),D85,
IF(AND(Авто_Калькулятор!$B$4=C85,Авто_Калькулятор!$E$12=$E$79),E85,
IF(AND(Авто_Калькулятор!$B$4=C85,Авто_Калькулятор!$E$12=$F$79),F85,
IF(AND(Авто_Калькулятор!$B$4=C85,Авто_Калькулятор!$E$12=$G$79),G85,
IF(AND(Авто_Калькулятор!$B$4=C85,Авто_Калькулятор!$E$12=$H$79),H85,
IF(AND(Авто_Калькулятор!$B$4=C85,Авто_Калькулятор!$E$12=$I$79),I85,
IF(AND(Авто_Калькулятор!$B$4=C85,Авто_Калькулятор!$E$12=$J$79),J85,0)))))))</f>
        <v>0</v>
      </c>
      <c r="C85" s="59" t="s">
        <v>95</v>
      </c>
      <c r="D85" s="92">
        <v>1E-3</v>
      </c>
      <c r="E85" s="92">
        <v>5.4899999999999993</v>
      </c>
      <c r="F85" s="92">
        <v>7.4899999999999993</v>
      </c>
      <c r="G85" s="92">
        <v>10.489999999999998</v>
      </c>
      <c r="H85" s="92">
        <v>10.99</v>
      </c>
      <c r="I85" s="92">
        <v>10.99</v>
      </c>
      <c r="J85" s="92">
        <v>10.99</v>
      </c>
      <c r="K85" s="70">
        <f>IF(AND(Авто_Калькулятор!$B$4=C85,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IF(AND(Авто_Калькулятор!$B$4=C85,OR(Авто_Калькулятор!$E$12=$D$79)),0.0199,0))</f>
        <v>0</v>
      </c>
      <c r="L85" s="56"/>
      <c r="M85" s="58"/>
    </row>
    <row r="86" spans="1:13" ht="15.75" thickBot="1" x14ac:dyDescent="0.3">
      <c r="A86" s="310"/>
      <c r="B86" s="72">
        <f>SUM(B80:B85)</f>
        <v>0</v>
      </c>
      <c r="C86" s="60"/>
      <c r="D86" s="93"/>
      <c r="E86" s="93"/>
      <c r="F86" s="93"/>
      <c r="G86" s="93"/>
      <c r="H86" s="93"/>
      <c r="I86" s="93"/>
      <c r="J86" s="93"/>
      <c r="K86" s="72">
        <f>SUM(K80:K85)</f>
        <v>0</v>
      </c>
      <c r="L86" s="60"/>
      <c r="M86" s="61"/>
    </row>
    <row r="87" spans="1:13" ht="15.75" x14ac:dyDescent="0.25">
      <c r="A87" s="302" t="s">
        <v>220</v>
      </c>
      <c r="B87" s="62" t="s">
        <v>26</v>
      </c>
      <c r="C87" s="63" t="s">
        <v>27</v>
      </c>
      <c r="D87" s="94">
        <v>12</v>
      </c>
      <c r="E87" s="94">
        <v>24</v>
      </c>
      <c r="F87" s="94">
        <v>36</v>
      </c>
      <c r="G87" s="94">
        <v>48</v>
      </c>
      <c r="H87" s="94">
        <v>60</v>
      </c>
      <c r="I87" s="94">
        <v>72</v>
      </c>
      <c r="J87" s="94">
        <v>84</v>
      </c>
      <c r="K87" s="46" t="s">
        <v>46</v>
      </c>
      <c r="L87" s="65" t="s">
        <v>28</v>
      </c>
      <c r="M87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94,IF(Авто_Калькулятор!$V$23&gt;=60,C93,IF(Авто_Калькулятор!$V$23&gt;=50,C92,IF(Авто_Калькулятор!$V$23&gt;=40,C91,IF(Авто_Калькулятор!$V$23&gt;=30,C90,IF(Авто_Калькулятор!$V$23&gt;=20,C89,IF(Авто_Калькулятор!$V$23&gt;=10,C88,))))))))&amp;IF(AND(Авто_Калькулятор!$V$23&lt;10,Авто_Калькулятор!$V$23&gt;0),"Сума авансового платежу недостатня",""))</f>
        <v/>
      </c>
    </row>
    <row r="88" spans="1:13" x14ac:dyDescent="0.25">
      <c r="A88" s="303"/>
      <c r="B88" s="47">
        <f>IF(AND(Авто_Калькулятор!$B$4=C88,Авто_Калькулятор!$E$12=$D$87),D88,
IF(AND(Авто_Калькулятор!$B$4=C88,Авто_Калькулятор!$E$12=$E$87),E88,
IF(AND(Авто_Калькулятор!$B$4=C88,Авто_Калькулятор!$E$12=$F$87),F88,
IF(AND(Авто_Калькулятор!$B$4=C88,Авто_Калькулятор!$E$12=$G$87),G88,
IF(AND(Авто_Калькулятор!$B$4=C88,Авто_Калькулятор!$E$12=$H$87),H88,
IF(AND(Авто_Калькулятор!$B$4=C88,Авто_Калькулятор!$E$12=$I$87),I88,
IF(AND(Авто_Калькулятор!$B$4=C88,Авто_Калькулятор!$E$12=$J$87),J88,0)))))))</f>
        <v>0</v>
      </c>
      <c r="C88" s="75" t="s">
        <v>221</v>
      </c>
      <c r="D88" s="108">
        <v>0.01</v>
      </c>
      <c r="E88" s="108">
        <v>17.79</v>
      </c>
      <c r="F88" s="108">
        <v>17.79</v>
      </c>
      <c r="G88" s="108">
        <v>17.79</v>
      </c>
      <c r="H88" s="108">
        <v>17.79</v>
      </c>
      <c r="I88" s="108">
        <v>17.79</v>
      </c>
      <c r="J88" s="108">
        <v>17.79</v>
      </c>
      <c r="K88" s="105">
        <f>IF(AND(Авто_Калькулятор!$B$4=C88, OR(Авто_Калькулятор!$E$12=$E$87,Авто_Калькулятор!$E$12=$F$87,Авто_Калькулятор!$E$12=$G$87,Авто_Калькулятор!$E$12=$H$87,Авто_Калькулятор!$E$12=$I$87,Авто_Калькулятор!$E$12=$J$87)),0.0199,
IF(AND(Авто_Калькулятор!$B$4=C88,OR(Авто_Калькулятор!$E$12=$D$87)),0.0199,0))</f>
        <v>0</v>
      </c>
      <c r="L88" s="52">
        <f>IF(Авто_Калькулятор!$E$12=D87,0%,IF(OR(Авто_Калькулятор!$E$12=E87,Авто_Калькулятор!$E$12=F87),0%,0%))</f>
        <v>0</v>
      </c>
      <c r="M88" s="74" t="s">
        <v>89</v>
      </c>
    </row>
    <row r="89" spans="1:13" x14ac:dyDescent="0.25">
      <c r="A89" s="303"/>
      <c r="B89" s="47">
        <f>IF(AND(Авто_Калькулятор!$B$4=C89,Авто_Калькулятор!$E$12=$D$87),D89,
IF(AND(Авто_Калькулятор!$B$4=C89,Авто_Калькулятор!$E$12=$E$87),E89,
IF(AND(Авто_Калькулятор!$B$4=C89,Авто_Калькулятор!$E$12=$F$87),F89,
IF(AND(Авто_Калькулятор!$B$4=C89,Авто_Калькулятор!$E$12=$G$87),G89,
IF(AND(Авто_Калькулятор!$B$4=C89,Авто_Калькулятор!$E$12=$H$87),H89,
IF(AND(Авто_Калькулятор!$B$4=C89,Авто_Калькулятор!$E$12=$I$87),I89,
IF(AND(Авто_Калькулятор!$B$4=C89,Авто_Калькулятор!$E$12=$J$87),J89,0)))))))</f>
        <v>0</v>
      </c>
      <c r="C89" s="75" t="s">
        <v>222</v>
      </c>
      <c r="D89" s="108">
        <v>0.01</v>
      </c>
      <c r="E89" s="108">
        <v>17.79</v>
      </c>
      <c r="F89" s="108">
        <v>17.79</v>
      </c>
      <c r="G89" s="108">
        <v>17.79</v>
      </c>
      <c r="H89" s="108">
        <v>17.79</v>
      </c>
      <c r="I89" s="108">
        <v>17.79</v>
      </c>
      <c r="J89" s="108">
        <v>17.79</v>
      </c>
      <c r="K89" s="105">
        <f>IF(AND(Авто_Калькулятор!$B$4=C89, OR(Авто_Калькулятор!$E$12=$E$87,Авто_Калькулятор!$E$12=$F$87,Авто_Калькулятор!$E$12=$G$87,Авто_Калькулятор!$E$12=$H$87,Авто_Калькулятор!$E$12=$I$87,Авто_Калькулятор!$E$12=$J$87)),0.0199,
IF(AND(Авто_Калькулятор!$B$4=C89,OR(Авто_Калькулятор!$E$12=$D$87)),0.0199,0))</f>
        <v>0</v>
      </c>
      <c r="L89" s="56"/>
      <c r="M89" s="58"/>
    </row>
    <row r="90" spans="1:13" x14ac:dyDescent="0.25">
      <c r="A90" s="303"/>
      <c r="B90" s="47">
        <f>IF(AND(Авто_Калькулятор!$B$4=C90,Авто_Калькулятор!$E$12=$D$87),D90,
IF(AND(Авто_Калькулятор!$B$4=C90,Авто_Калькулятор!$E$12=$E$87),E90,
IF(AND(Авто_Калькулятор!$B$4=C90,Авто_Калькулятор!$E$12=$F$87),F90,
IF(AND(Авто_Калькулятор!$B$4=C90,Авто_Калькулятор!$E$12=$G$87),G90,
IF(AND(Авто_Калькулятор!$B$4=C90,Авто_Калькулятор!$E$12=$H$87),H90,
IF(AND(Авто_Калькулятор!$B$4=C90,Авто_Калькулятор!$E$12=$I$87),I90,
IF(AND(Авто_Калькулятор!$B$4=C90,Авто_Калькулятор!$E$12=$J$87),J90,0)))))))</f>
        <v>0</v>
      </c>
      <c r="C90" s="75" t="s">
        <v>223</v>
      </c>
      <c r="D90" s="108">
        <v>0.01</v>
      </c>
      <c r="E90" s="108">
        <v>0.01</v>
      </c>
      <c r="F90" s="108">
        <v>17.79</v>
      </c>
      <c r="G90" s="108">
        <v>17.79</v>
      </c>
      <c r="H90" s="108">
        <v>17.79</v>
      </c>
      <c r="I90" s="108">
        <v>17.79</v>
      </c>
      <c r="J90" s="108">
        <v>17.79</v>
      </c>
      <c r="K90" s="105">
        <f>IF(AND(Авто_Калькулятор!$B$4=C90, OR(Авто_Калькулятор!$E$12=$E$87,Авто_Калькулятор!$E$12=$F$87,Авто_Калькулятор!$E$12=$G$87,Авто_Калькулятор!$E$12=$H$87,Авто_Калькулятор!$E$12=$I$87,Авто_Калькулятор!$E$12=$J$87)),0.0099,
IF(AND(Авто_Калькулятор!$B$4=C90,OR(Авто_Калькулятор!$E$12=$D$87)),0.0199,0))</f>
        <v>0</v>
      </c>
      <c r="L90" s="56"/>
      <c r="M90" s="58"/>
    </row>
    <row r="91" spans="1:13" x14ac:dyDescent="0.25">
      <c r="A91" s="303"/>
      <c r="B91" s="47">
        <f>IF(AND(Авто_Калькулятор!$B$4=C91,Авто_Калькулятор!$E$12=$D$87),D91,
IF(AND(Авто_Калькулятор!$B$4=C91,Авто_Калькулятор!$E$12=$E$87),E91,
IF(AND(Авто_Калькулятор!$B$4=C91,Авто_Калькулятор!$E$12=$F$87),F91,
IF(AND(Авто_Калькулятор!$B$4=C91,Авто_Калькулятор!$E$12=$G$87),G91,
IF(AND(Авто_Калькулятор!$B$4=C91,Авто_Калькулятор!$E$12=$H$87),H91,
IF(AND(Авто_Калькулятор!$B$4=C91,Авто_Калькулятор!$E$12=$I$87),I91,
IF(AND(Авто_Калькулятор!$B$4=C91,Авто_Калькулятор!$E$12=$J$87),J91,0)))))))</f>
        <v>0</v>
      </c>
      <c r="C91" s="76" t="s">
        <v>224</v>
      </c>
      <c r="D91" s="108">
        <v>0.01</v>
      </c>
      <c r="E91" s="108">
        <v>0.01</v>
      </c>
      <c r="F91" s="108">
        <v>17.79</v>
      </c>
      <c r="G91" s="108">
        <v>17.79</v>
      </c>
      <c r="H91" s="108">
        <v>17.79</v>
      </c>
      <c r="I91" s="108">
        <v>17.79</v>
      </c>
      <c r="J91" s="108">
        <v>17.79</v>
      </c>
      <c r="K91" s="105">
        <f>IF(AND(Авто_Калькулятор!$B$4=C91,OR(Авто_Калькулятор!$E$12=$E$87,Авто_Калькулятор!$E$12=$F$87,Авто_Калькулятор!$E$12=$G$87)),0,
0)</f>
        <v>0</v>
      </c>
      <c r="L91" s="56"/>
      <c r="M91" s="58"/>
    </row>
    <row r="92" spans="1:13" x14ac:dyDescent="0.25">
      <c r="A92" s="303"/>
      <c r="B92" s="47">
        <f>IF(AND(Авто_Калькулятор!$B$4=C92,Авто_Калькулятор!$E$12=$D$87),D92,
IF(AND(Авто_Калькулятор!$B$4=C92,Авто_Калькулятор!$E$12=$E$87),E92,
IF(AND(Авто_Калькулятор!$B$4=C92,Авто_Калькулятор!$E$12=$F$87),F92,
IF(AND(Авто_Калькулятор!$B$4=C92,Авто_Калькулятор!$E$12=$G$87),G92,
IF(AND(Авто_Калькулятор!$B$4=C92,Авто_Калькулятор!$E$12=$H$87),H92,
IF(AND(Авто_Калькулятор!$B$4=C92,Авто_Калькулятор!$E$12=$I$87),I92,
IF(AND(Авто_Калькулятор!$B$4=C92,Авто_Калькулятор!$E$12=$J$87),J92,0)))))))</f>
        <v>0</v>
      </c>
      <c r="C92" s="75" t="s">
        <v>225</v>
      </c>
      <c r="D92" s="108">
        <v>0.01</v>
      </c>
      <c r="E92" s="108">
        <v>0.01</v>
      </c>
      <c r="F92" s="108">
        <v>0.01</v>
      </c>
      <c r="G92" s="108">
        <v>17.79</v>
      </c>
      <c r="H92" s="108">
        <v>17.79</v>
      </c>
      <c r="I92" s="108">
        <v>17.79</v>
      </c>
      <c r="J92" s="108">
        <v>17.79</v>
      </c>
      <c r="K92" s="105">
        <f>IF(AND(Авто_Калькулятор!$B$4=C92,OR(Авто_Калькулятор!$E$12=$E$87,Авто_Калькулятор!$E$12=$F$87,Авто_Калькулятор!$E$12=$G$87)),0,
0)</f>
        <v>0</v>
      </c>
      <c r="L92" s="56"/>
      <c r="M92" s="58"/>
    </row>
    <row r="93" spans="1:13" x14ac:dyDescent="0.25">
      <c r="A93" s="303"/>
      <c r="B93" s="47">
        <f>IF(AND(Авто_Калькулятор!$B$4=C93,Авто_Калькулятор!$E$12=$D$87),D93,
IF(AND(Авто_Калькулятор!$B$4=C93,Авто_Калькулятор!$E$12=$E$87),E93,
IF(AND(Авто_Калькулятор!$B$4=C93,Авто_Калькулятор!$E$12=$F$87),F93,
IF(AND(Авто_Калькулятор!$B$4=C93,Авто_Калькулятор!$E$12=$G$87),G93,
IF(AND(Авто_Калькулятор!$B$4=C93,Авто_Калькулятор!$E$12=$H$87),H93,
IF(AND(Авто_Калькулятор!$B$4=C93,Авто_Калькулятор!$E$12=$I$87),I93,
IF(AND(Авто_Калькулятор!$B$4=C93,Авто_Калькулятор!$E$12=$J$87),J93,0)))))))</f>
        <v>0</v>
      </c>
      <c r="C93" s="76" t="s">
        <v>226</v>
      </c>
      <c r="D93" s="108">
        <v>0.01</v>
      </c>
      <c r="E93" s="108">
        <v>0.01</v>
      </c>
      <c r="F93" s="108">
        <v>0.01</v>
      </c>
      <c r="G93" s="108">
        <v>17.79</v>
      </c>
      <c r="H93" s="108">
        <v>17.79</v>
      </c>
      <c r="I93" s="108">
        <v>17.79</v>
      </c>
      <c r="J93" s="108">
        <v>17.79</v>
      </c>
      <c r="K93" s="105">
        <f>IF(AND(Авто_Калькулятор!$B$4=C93,OR(Авто_Калькулятор!$E$12=$E$87,Авто_Калькулятор!$E$12=$F$87,Авто_Калькулятор!$E$12=$G$87)),0,
0)</f>
        <v>0</v>
      </c>
      <c r="L93" s="56"/>
      <c r="M93" s="58"/>
    </row>
    <row r="94" spans="1:13" ht="15.75" thickBot="1" x14ac:dyDescent="0.3">
      <c r="A94" s="303"/>
      <c r="B94" s="47">
        <f>IF(AND(Авто_Калькулятор!$B$4=C94,Авто_Калькулятор!$E$12=$D$87),D94,
IF(AND(Авто_Калькулятор!$B$4=C94,Авто_Калькулятор!$E$12=$E$87),E94,
IF(AND(Авто_Калькулятор!$B$4=C94,Авто_Калькулятор!$E$12=$F$87),F94,
IF(AND(Авто_Калькулятор!$B$4=C94,Авто_Калькулятор!$E$12=$G$87),G94,
IF(AND(Авто_Калькулятор!$B$4=C94,Авто_Калькулятор!$E$12=$H$87),H94,
IF(AND(Авто_Калькулятор!$B$4=C94,Авто_Калькулятор!$E$12=$I$87),I94,
IF(AND(Авто_Калькулятор!$B$4=C94,Авто_Калькулятор!$E$12=$J$87),J94,0)))))))</f>
        <v>0</v>
      </c>
      <c r="C94" s="75" t="s">
        <v>219</v>
      </c>
      <c r="D94" s="108">
        <v>0.01</v>
      </c>
      <c r="E94" s="108">
        <v>0.01</v>
      </c>
      <c r="F94" s="108">
        <v>0.01</v>
      </c>
      <c r="G94" s="108">
        <v>17.79</v>
      </c>
      <c r="H94" s="108">
        <v>17.79</v>
      </c>
      <c r="I94" s="108">
        <v>17.79</v>
      </c>
      <c r="J94" s="108">
        <v>17.79</v>
      </c>
      <c r="K94" s="105">
        <f>IF(AND(Авто_Калькулятор!$B$4=C94,OR(Авто_Калькулятор!$E$12=$E$87,Авто_Калькулятор!$E$12=$F$87,Авто_Калькулятор!$E$12=$G$87)),0,
0)</f>
        <v>0</v>
      </c>
      <c r="L94" s="56"/>
      <c r="M94" s="58"/>
    </row>
    <row r="95" spans="1:13" ht="15.75" thickBot="1" x14ac:dyDescent="0.3">
      <c r="A95" s="304"/>
      <c r="B95" s="72">
        <f>SUM(B88:B94)</f>
        <v>0</v>
      </c>
      <c r="C95" s="60"/>
      <c r="D95" s="93"/>
      <c r="E95" s="93"/>
      <c r="F95" s="93"/>
      <c r="G95" s="93"/>
      <c r="H95" s="93"/>
      <c r="I95" s="93"/>
      <c r="J95" s="93"/>
      <c r="K95" s="72">
        <f>SUM(K88:K94)</f>
        <v>0</v>
      </c>
      <c r="L95" s="60"/>
      <c r="M95" s="61"/>
    </row>
    <row r="96" spans="1:13" ht="15.75" x14ac:dyDescent="0.25">
      <c r="A96" s="302" t="s">
        <v>104</v>
      </c>
      <c r="B96" s="62" t="s">
        <v>26</v>
      </c>
      <c r="C96" s="63" t="s">
        <v>27</v>
      </c>
      <c r="D96" s="94">
        <v>12</v>
      </c>
      <c r="E96" s="94">
        <v>24</v>
      </c>
      <c r="F96" s="94">
        <v>36</v>
      </c>
      <c r="G96" s="94">
        <v>48</v>
      </c>
      <c r="H96" s="94">
        <v>60</v>
      </c>
      <c r="I96" s="94">
        <v>72</v>
      </c>
      <c r="J96" s="94">
        <v>84</v>
      </c>
      <c r="K96" s="46" t="s">
        <v>46</v>
      </c>
      <c r="L96" s="65" t="s">
        <v>28</v>
      </c>
      <c r="M96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64&gt;=70,Аркуш1!C103,IF(Авто_Калькулятор!$V$23&gt;=60,C102,IF(Авто_Калькулятор!$V$23&gt;=50,C101,IF(Авто_Калькулятор!$V$23&gt;=40,C100,IF(Авто_Калькулятор!$V$23&gt;=30,C99,IF(Авто_Калькулятор!$V$23&gt;=20,C98,IF(Авто_Калькулятор!$V$23&gt;=10,C97,))))))))&amp;IF(AND(Авто_Калькулятор!$V$23&lt;10,Авто_Калькулятор!$V$23&gt;0),"Сума авансового платежу недостатня",""))</f>
        <v/>
      </c>
    </row>
    <row r="97" spans="1:13" x14ac:dyDescent="0.25">
      <c r="A97" s="303"/>
      <c r="B97" s="47">
        <f>IF(AND(Авто_Калькулятор!$B$4=C97,Авто_Калькулятор!$E$12=$D$96),D97,
IF(AND(Авто_Калькулятор!$B$4=C97,Авто_Калькулятор!$E$12=$E$96),E97,
IF(AND(Авто_Калькулятор!$B$4=C97,Авто_Калькулятор!$E$12=$F$96),F97,
IF(AND(Авто_Калькулятор!$B$4=C97,Авто_Калькулятор!$E$12=$G$96),G97,
IF(AND(Авто_Калькулятор!$B$4=C97,Авто_Калькулятор!$E$12=$H$96),H97,
IF(AND(Авто_Калькулятор!$B$4=C97,Авто_Калькулятор!$E$12=$I$96),I97,
IF(AND(Авто_Калькулятор!$B$4=C97,Авто_Калькулятор!$E$12=$J$96),J97,0)))))))</f>
        <v>0</v>
      </c>
      <c r="C97" s="75" t="s">
        <v>97</v>
      </c>
      <c r="D97" s="109">
        <v>3.9899999999999998</v>
      </c>
      <c r="E97" s="109">
        <v>6.99</v>
      </c>
      <c r="F97" s="109">
        <v>7.4899999999999993</v>
      </c>
      <c r="G97" s="109">
        <v>8.49</v>
      </c>
      <c r="H97" s="109">
        <v>9.49</v>
      </c>
      <c r="I97" s="109">
        <v>10.489999999999998</v>
      </c>
      <c r="J97" s="109">
        <v>10.489999999999998</v>
      </c>
      <c r="K97" s="70">
        <f>IF(AND(Авто_Калькулятор!$B$4=C97, OR(Авто_Калькулятор!$E$12=$D$96,Авто_Калькулятор!$E$12=$E$96,Авто_Калькулятор!$E$12=$F$96)),0,
IF(AND(Авто_Калькулятор!$B$4=C97,OR(Авто_Калькулятор!$E$12=$G$96,Авто_Калькулятор!$E$12=$H$96,Авто_Калькулятор!$E$12=$I$96,Авто_Калькулятор!$E$12=$J$96)),0,0))</f>
        <v>0</v>
      </c>
      <c r="L97" s="52">
        <f>IF(Авто_Калькулятор!$E$12=D96,0%,IF(OR(Авто_Калькулятор!$E$12=E96,Авто_Калькулятор!$E$12=F96),0%,0%))</f>
        <v>0</v>
      </c>
      <c r="M97" s="74" t="s">
        <v>89</v>
      </c>
    </row>
    <row r="98" spans="1:13" x14ac:dyDescent="0.25">
      <c r="A98" s="303"/>
      <c r="B98" s="47">
        <f>IF(AND(Авто_Калькулятор!$B$4=C98,Авто_Калькулятор!$E$12=$D$96),D98,
IF(AND(Авто_Калькулятор!$B$4=C98,Авто_Калькулятор!$E$12=$E$96),E98,
IF(AND(Авто_Калькулятор!$B$4=C98,Авто_Калькулятор!$E$12=$F$96),F98,
IF(AND(Авто_Калькулятор!$B$4=C98,Авто_Калькулятор!$E$12=$G$96),G98,
IF(AND(Авто_Калькулятор!$B$4=C98,Авто_Калькулятор!$E$12=$H$96),H98,
IF(AND(Авто_Калькулятор!$B$4=C98,Авто_Калькулятор!$E$12=$I$96),I98,
IF(AND(Авто_Калькулятор!$B$4=C98,Авто_Калькулятор!$E$12=$J$96),J98,0)))))))</f>
        <v>0</v>
      </c>
      <c r="C98" s="75" t="s">
        <v>98</v>
      </c>
      <c r="D98" s="109">
        <v>1.9900000000000002</v>
      </c>
      <c r="E98" s="109">
        <v>5.99</v>
      </c>
      <c r="F98" s="109">
        <v>6.49</v>
      </c>
      <c r="G98" s="109">
        <v>7.4899999999999993</v>
      </c>
      <c r="H98" s="109">
        <v>8.49</v>
      </c>
      <c r="I98" s="109">
        <v>9.49</v>
      </c>
      <c r="J98" s="109">
        <v>9.49</v>
      </c>
      <c r="K98" s="70">
        <f>IF(AND(Авто_Калькулятор!$B$4=C98, OR(Авто_Калькулятор!$E$12=$D$96,Авто_Калькулятор!$E$12=$E$96,Авто_Калькулятор!$E$12=$F$96)),0,
IF(AND(Авто_Калькулятор!$B$4=C98,OR(Авто_Калькулятор!$E$12=$G$96,Авто_Калькулятор!$E$12=$H$96,Авто_Калькулятор!$E$12=$I$96,Авто_Калькулятор!$E$12=$J$96)),0,0))</f>
        <v>0</v>
      </c>
      <c r="L98" s="56"/>
      <c r="M98" s="58"/>
    </row>
    <row r="99" spans="1:13" x14ac:dyDescent="0.25">
      <c r="A99" s="303"/>
      <c r="B99" s="47">
        <f>IF(AND(Авто_Калькулятор!$B$4=C99,Авто_Калькулятор!$E$12=$D$96),D99,
IF(AND(Авто_Калькулятор!$B$4=C99,Авто_Калькулятор!$E$12=$E$96),E99,
IF(AND(Авто_Калькулятор!$B$4=C99,Авто_Калькулятор!$E$12=$F$96),F99,
IF(AND(Авто_Калькулятор!$B$4=C99,Авто_Калькулятор!$E$12=$G$96),G99,
IF(AND(Авто_Калькулятор!$B$4=C99,Авто_Калькулятор!$E$12=$H$96),H99,
IF(AND(Авто_Калькулятор!$B$4=C99,Авто_Калькулятор!$E$12=$I$96),I99,
IF(AND(Авто_Калькулятор!$B$4=C99,Авто_Калькулятор!$E$12=$J$96),J99,0)))))))</f>
        <v>0</v>
      </c>
      <c r="C99" s="75" t="s">
        <v>99</v>
      </c>
      <c r="D99" s="109">
        <v>1E-3</v>
      </c>
      <c r="E99" s="109">
        <v>4.99</v>
      </c>
      <c r="F99" s="109">
        <v>5.4899999999999993</v>
      </c>
      <c r="G99" s="109">
        <v>6.49</v>
      </c>
      <c r="H99" s="109">
        <v>7.4899999999999993</v>
      </c>
      <c r="I99" s="109">
        <v>8.49</v>
      </c>
      <c r="J99" s="109">
        <v>8.49</v>
      </c>
      <c r="K99" s="70">
        <f>IF(AND(Авто_Калькулятор!$B$4=C99, OR(Авто_Калькулятор!$E$12=$D$96,Авто_Калькулятор!$E$12=$E$96,Авто_Калькулятор!$E$12=$F$96)),0,
IF(AND(Авто_Калькулятор!$B$4=C99,OR(Авто_Калькулятор!$E$12=$G$96,Авто_Калькулятор!$E$12=$H$96,Авто_Калькулятор!$E$12=$I$96,Авто_Калькулятор!$E$12=$J$96)),0,0))</f>
        <v>0</v>
      </c>
      <c r="L99" s="56"/>
      <c r="M99" s="58"/>
    </row>
    <row r="100" spans="1:13" x14ac:dyDescent="0.25">
      <c r="A100" s="303"/>
      <c r="B100" s="47">
        <f>IF(AND(Авто_Калькулятор!$B$4=C100,Авто_Калькулятор!$E$12=$D$96),D100,
IF(AND(Авто_Калькулятор!$B$4=C100,Авто_Калькулятор!$E$12=$E$96),E100,
IF(AND(Авто_Калькулятор!$B$4=C100,Авто_Калькулятор!$E$12=$F$96),F100,
IF(AND(Авто_Калькулятор!$B$4=C100,Авто_Калькулятор!$E$12=$G$96),G100,
IF(AND(Авто_Калькулятор!$B$4=C100,Авто_Калькулятор!$E$12=$H$96),H100,
IF(AND(Авто_Калькулятор!$B$4=C100,Авто_Калькулятор!$E$12=$I$96),I100,
IF(AND(Авто_Калькулятор!$B$4=C100,Авто_Калькулятор!$E$12=$J$96),J100,0)))))))</f>
        <v>0</v>
      </c>
      <c r="C100" s="76" t="s">
        <v>100</v>
      </c>
      <c r="D100" s="109">
        <v>1E-3</v>
      </c>
      <c r="E100" s="109">
        <v>2.4899999999999998</v>
      </c>
      <c r="F100" s="109">
        <v>3.49</v>
      </c>
      <c r="G100" s="109">
        <v>3.49</v>
      </c>
      <c r="H100" s="109">
        <v>3.49</v>
      </c>
      <c r="I100" s="109">
        <v>7.4899999999999993</v>
      </c>
      <c r="J100" s="109">
        <v>7.4899999999999993</v>
      </c>
      <c r="K100" s="70">
        <f>IF(AND(Авто_Калькулятор!$B$4=C100, OR(Авто_Калькулятор!$E$12=$D$96,Авто_Калькулятор!$E$12=$E$96,Авто_Калькулятор!$E$12=$F$96)),0,
IF(AND(Авто_Калькулятор!$B$4=C100,OR(Авто_Калькулятор!$E$12=$G$96,Авто_Калькулятор!$E$12=$H$96,Авто_Калькулятор!$E$12=$I$96,Авто_Калькулятор!$E$12=$J$96)),0,0))</f>
        <v>0</v>
      </c>
      <c r="L100" s="56"/>
      <c r="M100" s="58"/>
    </row>
    <row r="101" spans="1:13" x14ac:dyDescent="0.25">
      <c r="A101" s="303"/>
      <c r="B101" s="47">
        <f>IF(AND(Авто_Калькулятор!$B$4=C101,Авто_Калькулятор!$E$12=$D$96),D101,
IF(AND(Авто_Калькулятор!$B$4=C101,Авто_Калькулятор!$E$12=$E$96),E101,
IF(AND(Авто_Калькулятор!$B$4=C101,Авто_Калькулятор!$E$12=$F$96),F101,
IF(AND(Авто_Калькулятор!$B$4=C101,Авто_Калькулятор!$E$12=$G$96),G101,
IF(AND(Авто_Калькулятор!$B$4=C101,Авто_Калькулятор!$E$12=$H$96),H101,
IF(AND(Авто_Калькулятор!$B$4=C101,Авто_Калькулятор!$E$12=$I$96),I101,
IF(AND(Авто_Калькулятор!$B$4=C101,Авто_Калькулятор!$E$12=$J$96),J101,0)))))))</f>
        <v>0</v>
      </c>
      <c r="C101" s="75" t="s">
        <v>101</v>
      </c>
      <c r="D101" s="109">
        <v>1E-3</v>
      </c>
      <c r="E101" s="109">
        <v>1E-3</v>
      </c>
      <c r="F101" s="109">
        <v>1.49</v>
      </c>
      <c r="G101" s="109">
        <v>1.49</v>
      </c>
      <c r="H101" s="109">
        <v>1.49</v>
      </c>
      <c r="I101" s="109">
        <v>5.4899999999999993</v>
      </c>
      <c r="J101" s="109">
        <v>5.4899999999999993</v>
      </c>
      <c r="K101" s="70">
        <f>IF(AND(Авто_Калькулятор!$B$4=C101, OR(Авто_Калькулятор!$E$12=$D$96,Авто_Калькулятор!$E$12=$E$96,Авто_Калькулятор!$E$12=$F$96)),0,
IF(AND(Авто_Калькулятор!$B$4=C101,OR(Авто_Калькулятор!$E$12=$G$96,Авто_Калькулятор!$E$12=$H$96,Авто_Калькулятор!$E$12=$I$96,Авто_Калькулятор!$E$12=$J$96)),0,0))</f>
        <v>0</v>
      </c>
      <c r="L101" s="56"/>
      <c r="M101" s="58"/>
    </row>
    <row r="102" spans="1:13" x14ac:dyDescent="0.25">
      <c r="A102" s="303"/>
      <c r="B102" s="47">
        <f>IF(AND(Авто_Калькулятор!$B$4=C102,Авто_Калькулятор!$E$12=$D$96),D102,
IF(AND(Авто_Калькулятор!$B$4=C102,Авто_Калькулятор!$E$12=$E$96),E102,
IF(AND(Авто_Калькулятор!$B$4=C102,Авто_Калькулятор!$E$12=$F$96),F102,
IF(AND(Авто_Калькулятор!$B$4=C102,Авто_Калькулятор!$E$12=$G$96),G102,
IF(AND(Авто_Калькулятор!$B$4=C102,Авто_Калькулятор!$E$12=$H$96),H102,
IF(AND(Авто_Калькулятор!$B$4=C102,Авто_Калькулятор!$E$12=$I$96),I102,
IF(AND(Авто_Калькулятор!$B$4=C102,Авто_Калькулятор!$E$12=$J$96),J102,0)))))))</f>
        <v>0</v>
      </c>
      <c r="C102" s="76" t="s">
        <v>102</v>
      </c>
      <c r="D102" s="109">
        <v>1E-3</v>
      </c>
      <c r="E102" s="109">
        <v>1E-3</v>
      </c>
      <c r="F102" s="109">
        <v>1E-3</v>
      </c>
      <c r="G102" s="109">
        <v>1E-3</v>
      </c>
      <c r="H102" s="109">
        <v>1E-3</v>
      </c>
      <c r="I102" s="109">
        <v>2.4899999999999998</v>
      </c>
      <c r="J102" s="109">
        <v>2.4899999999999998</v>
      </c>
      <c r="K102" s="70">
        <f>IF(AND(Авто_Калькулятор!$B$4=C102, OR(Авто_Калькулятор!$E$12=$D$96,Авто_Калькулятор!$E$12=$E$96,Авто_Калькулятор!$E$12=$F$96)),0,
IF(AND(Авто_Калькулятор!$B$4=C102,OR(Авто_Калькулятор!$E$12=$G$96,Авто_Калькулятор!$E$12=$H$96,Авто_Калькулятор!$E$12=$I$96,Авто_Калькулятор!$E$12=$J$96)),0,0))</f>
        <v>0</v>
      </c>
      <c r="L102" s="56"/>
      <c r="M102" s="58"/>
    </row>
    <row r="103" spans="1:13" ht="15.75" thickBot="1" x14ac:dyDescent="0.3">
      <c r="A103" s="303"/>
      <c r="B103" s="47">
        <f>IF(AND(Авто_Калькулятор!$B$4=C103,Авто_Калькулятор!$E$12=$D$96),D103,
IF(AND(Авто_Калькулятор!$B$4=C103,Авто_Калькулятор!$E$12=$E$96),E103,
IF(AND(Авто_Калькулятор!$B$4=C103,Авто_Калькулятор!$E$12=$F$96),F103,
IF(AND(Авто_Калькулятор!$B$4=C103,Авто_Калькулятор!$E$12=$G$96),G103,
IF(AND(Авто_Калькулятор!$B$4=C103,Авто_Калькулятор!$E$12=$H$96),H103,
IF(AND(Авто_Калькулятор!$B$4=C103,Авто_Калькулятор!$E$12=$I$96),I103,
IF(AND(Авто_Калькулятор!$B$4=C103,Авто_Калькулятор!$E$12=$J$96),J103,0)))))))</f>
        <v>0</v>
      </c>
      <c r="C103" s="75" t="s">
        <v>103</v>
      </c>
      <c r="D103" s="109">
        <v>1E-3</v>
      </c>
      <c r="E103" s="109">
        <v>1E-3</v>
      </c>
      <c r="F103" s="109">
        <v>1E-3</v>
      </c>
      <c r="G103" s="109">
        <v>1E-3</v>
      </c>
      <c r="H103" s="109">
        <v>1E-3</v>
      </c>
      <c r="I103" s="109">
        <v>1E-3</v>
      </c>
      <c r="J103" s="109">
        <v>1E-3</v>
      </c>
      <c r="K103" s="70">
        <f>IF(AND(Авто_Калькулятор!$B$4=C103, OR(Авто_Калькулятор!$E$12=$D$96,Авто_Калькулятор!$E$12=$E$96,Авто_Калькулятор!$E$12=$F$96)),0,
IF(AND(Авто_Калькулятор!$B$4=C103,OR(Авто_Калькулятор!$E$12=$G$96,Авто_Калькулятор!$E$12=$H$96,Авто_Калькулятор!$E$12=$I$96,Авто_Калькулятор!$E$12=$J$96)),0,0))</f>
        <v>0</v>
      </c>
      <c r="L103" s="56"/>
      <c r="M103" s="58"/>
    </row>
    <row r="104" spans="1:13" ht="15.75" thickBot="1" x14ac:dyDescent="0.3">
      <c r="A104" s="304"/>
      <c r="B104" s="72">
        <f>SUM(B97:B102)</f>
        <v>0</v>
      </c>
      <c r="C104" s="60"/>
      <c r="D104" s="93"/>
      <c r="E104" s="93"/>
      <c r="F104" s="93"/>
      <c r="G104" s="93"/>
      <c r="H104" s="93"/>
      <c r="I104" s="93"/>
      <c r="J104" s="93"/>
      <c r="K104" s="72">
        <f>SUM(K97:K102)</f>
        <v>0</v>
      </c>
      <c r="L104" s="60"/>
      <c r="M104" s="61"/>
    </row>
    <row r="105" spans="1:13" ht="15.75" x14ac:dyDescent="0.25">
      <c r="A105" s="302" t="s">
        <v>105</v>
      </c>
      <c r="B105" s="62" t="s">
        <v>26</v>
      </c>
      <c r="C105" s="63" t="s">
        <v>27</v>
      </c>
      <c r="D105" s="94">
        <v>12</v>
      </c>
      <c r="E105" s="94">
        <v>24</v>
      </c>
      <c r="F105" s="94">
        <v>36</v>
      </c>
      <c r="G105" s="94">
        <v>48</v>
      </c>
      <c r="H105" s="94">
        <v>60</v>
      </c>
      <c r="I105" s="94">
        <v>72</v>
      </c>
      <c r="J105" s="94">
        <v>84</v>
      </c>
      <c r="K105" s="46" t="s">
        <v>46</v>
      </c>
      <c r="L105" s="65" t="s">
        <v>28</v>
      </c>
      <c r="M105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111,IF(Авто_Калькулятор!$V$23&gt;=50,C110,IF(Авто_Калькулятор!$V$23&gt;=40,C109,IF(Авто_Калькулятор!$V$23&gt;=30,C108,IF(Авто_Калькулятор!$V$23&gt;=20,C107,IF(Авто_Калькулятор!$V$23&gt;=10,C106,))))))))&amp;IF(AND(Авто_Калькулятор!$V$23&lt;10,Авто_Калькулятор!$V$23&gt;0),"Сума авансового платежу недостатня","")</f>
        <v/>
      </c>
    </row>
    <row r="106" spans="1:13" x14ac:dyDescent="0.25">
      <c r="A106" s="303"/>
      <c r="B106" s="47">
        <f>IF(AND(Авто_Калькулятор!$B$4=C106,Авто_Калькулятор!$E$12=$D$105),D106,
IF(AND(Авто_Калькулятор!$B$4=C106,Авто_Калькулятор!$E$12=$E$105),E106,
IF(AND(Авто_Калькулятор!$B$4=C106,Авто_Калькулятор!$E$12=$F$105),F106,
IF(AND(Авто_Калькулятор!$B$4=C106,Авто_Калькулятор!$E$12=$G$105),G106,
IF(AND(Авто_Калькулятор!$B$4=C106,Авто_Калькулятор!$E$12=$H$105),H106,
IF(AND(Авто_Калькулятор!$B$4=C106,Авто_Калькулятор!$E$12=$I$105),I106,
IF(AND(Авто_Калькулятор!$B$4=C106,Авто_Калькулятор!$E$12=$J$105),J106,0)))))))</f>
        <v>0</v>
      </c>
      <c r="C106" s="75" t="s">
        <v>106</v>
      </c>
      <c r="D106" s="110">
        <v>0.01</v>
      </c>
      <c r="E106" s="110">
        <v>6.99</v>
      </c>
      <c r="F106" s="110">
        <v>7.99</v>
      </c>
      <c r="G106" s="110">
        <v>8.99</v>
      </c>
      <c r="H106" s="110">
        <v>9.99</v>
      </c>
      <c r="I106" s="110">
        <v>10.99</v>
      </c>
      <c r="J106" s="110">
        <v>10.99</v>
      </c>
      <c r="K106" s="105">
        <f>IF(AND(Авто_Калькулятор!$B$4=C106, OR(Авто_Калькулятор!$E$12=$D$105,Авто_Калькулятор!$E$12=$E$105)),0.0249,
IF(AND(Авто_Калькулятор!$B$4=C106,OR(Авто_Калькулятор!$E$12=$F$105)),0,0))</f>
        <v>0</v>
      </c>
      <c r="L106" s="52">
        <f>IF(Авто_Калькулятор!$E$12=D105,0%,0%)</f>
        <v>0</v>
      </c>
      <c r="M106" s="74" t="s">
        <v>89</v>
      </c>
    </row>
    <row r="107" spans="1:13" x14ac:dyDescent="0.25">
      <c r="A107" s="303"/>
      <c r="B107" s="47">
        <f>IF(AND(Авто_Калькулятор!$B$4=C107,Авто_Калькулятор!$E$12=$D$105),D107,
IF(AND(Авто_Калькулятор!$B$4=C107,Авто_Калькулятор!$E$12=$E$105),E107,
IF(AND(Авто_Калькулятор!$B$4=C107,Авто_Калькулятор!$E$12=$F$105),F107,
IF(AND(Авто_Калькулятор!$B$4=C107,Авто_Калькулятор!$E$12=$G$105),G107,
IF(AND(Авто_Калькулятор!$B$4=C107,Авто_Калькулятор!$E$12=$H$105),H107,
IF(AND(Авто_Калькулятор!$B$4=C107,Авто_Калькулятор!$E$12=$I$105),I107,
IF(AND(Авто_Калькулятор!$B$4=C107,Авто_Калькулятор!$E$12=$J$105),J107,0)))))))</f>
        <v>0</v>
      </c>
      <c r="C107" s="75" t="s">
        <v>107</v>
      </c>
      <c r="D107" s="110">
        <v>0.01</v>
      </c>
      <c r="E107" s="110">
        <v>5.4899999999999993</v>
      </c>
      <c r="F107" s="110">
        <v>6.99</v>
      </c>
      <c r="G107" s="110">
        <v>7.99</v>
      </c>
      <c r="H107" s="110">
        <v>8.99</v>
      </c>
      <c r="I107" s="110">
        <v>9.99</v>
      </c>
      <c r="J107" s="110">
        <v>9.99</v>
      </c>
      <c r="K107" s="105">
        <f>IF(AND(Авто_Калькулятор!$B$4=C107, OR(Авто_Калькулятор!$E$12=$D$105,Авто_Калькулятор!$E$12=$E$105)),0.0249,
IF(AND(Авто_Калькулятор!$B$4=C107,OR(Авто_Калькулятор!$E$12=$F$105)),0,0))</f>
        <v>0</v>
      </c>
      <c r="L107" s="56"/>
      <c r="M107" s="58"/>
    </row>
    <row r="108" spans="1:13" x14ac:dyDescent="0.25">
      <c r="A108" s="303"/>
      <c r="B108" s="47">
        <f>IF(AND(Авто_Калькулятор!$B$4=C108,Авто_Калькулятор!$E$12=$D$105),D108,
IF(AND(Авто_Калькулятор!$B$4=C108,Авто_Калькулятор!$E$12=$E$105),E108,
IF(AND(Авто_Калькулятор!$B$4=C108,Авто_Калькулятор!$E$12=$F$105),F108,
IF(AND(Авто_Калькулятор!$B$4=C108,Авто_Калькулятор!$E$12=$G$105),G108,
IF(AND(Авто_Калькулятор!$B$4=C108,Авто_Калькулятор!$E$12=$H$105),H108,
IF(AND(Авто_Калькулятор!$B$4=C108,Авто_Калькулятор!$E$12=$I$105),I108,
IF(AND(Авто_Калькулятор!$B$4=C108,Авто_Калькулятор!$E$12=$J$105),J108,0)))))))</f>
        <v>0</v>
      </c>
      <c r="C108" s="75" t="s">
        <v>108</v>
      </c>
      <c r="D108" s="110">
        <v>0.01</v>
      </c>
      <c r="E108" s="110">
        <v>3.9899999999999998</v>
      </c>
      <c r="F108" s="110">
        <v>5.99</v>
      </c>
      <c r="G108" s="110">
        <v>6.99</v>
      </c>
      <c r="H108" s="110">
        <v>7.99</v>
      </c>
      <c r="I108" s="110">
        <v>8.99</v>
      </c>
      <c r="J108" s="110">
        <v>8.99</v>
      </c>
      <c r="K108" s="105">
        <f>IF(AND(Авто_Калькулятор!$B$4=C108, OR(Авто_Калькулятор!$E$12=$D$105,Авто_Калькулятор!$E$12=$E$105)),0.0249,
IF(AND(Авто_Калькулятор!$B$4=C108,OR(Авто_Калькулятор!$E$12=$F$105)),0,0))</f>
        <v>0</v>
      </c>
      <c r="L108" s="56"/>
      <c r="M108" s="58"/>
    </row>
    <row r="109" spans="1:13" x14ac:dyDescent="0.25">
      <c r="A109" s="303"/>
      <c r="B109" s="47">
        <f>IF(AND(Авто_Калькулятор!$B$4=C109,Авто_Калькулятор!$E$12=$D$105),D109,
IF(AND(Авто_Калькулятор!$B$4=C109,Авто_Калькулятор!$E$12=$E$105),E109,
IF(AND(Авто_Калькулятор!$B$4=C109,Авто_Калькулятор!$E$12=$F$105),F109,
IF(AND(Авто_Калькулятор!$B$4=C109,Авто_Калькулятор!$E$12=$G$105),G109,
IF(AND(Авто_Калькулятор!$B$4=C109,Авто_Калькулятор!$E$12=$H$105),H109,
IF(AND(Авто_Калькулятор!$B$4=C109,Авто_Калькулятор!$E$12=$I$105),I109,
IF(AND(Авто_Калькулятор!$B$4=C109,Авто_Калькулятор!$E$12=$J$105),J109,0)))))))</f>
        <v>0</v>
      </c>
      <c r="C109" s="76" t="s">
        <v>109</v>
      </c>
      <c r="D109" s="110">
        <v>0.01</v>
      </c>
      <c r="E109" s="110">
        <v>0.01</v>
      </c>
      <c r="F109" s="110">
        <v>3.9899999999999998</v>
      </c>
      <c r="G109" s="110">
        <v>5.99</v>
      </c>
      <c r="H109" s="110">
        <v>6.99</v>
      </c>
      <c r="I109" s="110">
        <v>7.99</v>
      </c>
      <c r="J109" s="110">
        <v>7.99</v>
      </c>
      <c r="K109" s="105">
        <f>IF(AND(Авто_Калькулятор!$B$4=C109, OR(Авто_Калькулятор!$E$12=$D$105,Авто_Калькулятор!$E$12=$E$105)),0.0249,
IF(AND(Авто_Калькулятор!$B$4=C109,OR(Авто_Калькулятор!$E$12=$F$105)),0,0))</f>
        <v>0</v>
      </c>
      <c r="L109" s="56"/>
      <c r="M109" s="58"/>
    </row>
    <row r="110" spans="1:13" x14ac:dyDescent="0.25">
      <c r="A110" s="303"/>
      <c r="B110" s="47">
        <f>IF(AND(Авто_Калькулятор!$B$4=C110,Авто_Калькулятор!$E$12=$D$105),D110,
IF(AND(Авто_Калькулятор!$B$4=C110,Авто_Калькулятор!$E$12=$E$105),E110,
IF(AND(Авто_Калькулятор!$B$4=C110,Авто_Калькулятор!$E$12=$F$105),F110,
IF(AND(Авто_Калькулятор!$B$4=C110,Авто_Калькулятор!$E$12=$G$105),G110,
IF(AND(Авто_Калькулятор!$B$4=C110,Авто_Калькулятор!$E$12=$H$105),H110,
IF(AND(Авто_Калькулятор!$B$4=C110,Авто_Калькулятор!$E$12=$I$105),I110,
IF(AND(Авто_Калькулятор!$B$4=C110,Авто_Калькулятор!$E$12=$J$105),J110,0)))))))</f>
        <v>0</v>
      </c>
      <c r="C110" s="76" t="s">
        <v>110</v>
      </c>
      <c r="D110" s="110">
        <v>0.01</v>
      </c>
      <c r="E110" s="110">
        <v>0.01</v>
      </c>
      <c r="F110" s="110">
        <v>1.9900000000000002</v>
      </c>
      <c r="G110" s="110">
        <v>4.99</v>
      </c>
      <c r="H110" s="110">
        <v>5.99</v>
      </c>
      <c r="I110" s="110">
        <v>6.99</v>
      </c>
      <c r="J110" s="110">
        <v>6.99</v>
      </c>
      <c r="K110" s="105">
        <f>IF(AND(Авто_Калькулятор!$B$4=C110, OR(Авто_Калькулятор!$E$12=$F$105,Авто_Калькулятор!$E$12=$D$105)),0,
IF(AND(Авто_Калькулятор!$B$4=C110,OR(Авто_Калькулятор!$E$12=$E$105)),0.0249,0))</f>
        <v>0</v>
      </c>
      <c r="L110" s="56"/>
      <c r="M110" s="58"/>
    </row>
    <row r="111" spans="1:13" ht="15.75" thickBot="1" x14ac:dyDescent="0.3">
      <c r="A111" s="303"/>
      <c r="B111" s="47">
        <f>IF(AND(Авто_Калькулятор!$B$4=C111,Авто_Калькулятор!$E$12=$D$105),D111,
IF(AND(Авто_Калькулятор!$B$4=C111,Авто_Калькулятор!$E$12=$E$105),E111,
IF(AND(Авто_Калькулятор!$B$4=C111,Авто_Калькулятор!$E$12=$F$105),F111,
IF(AND(Авто_Калькулятор!$B$4=C111,Авто_Калькулятор!$E$12=$G$105),G111,
IF(AND(Авто_Калькулятор!$B$4=C111,Авто_Калькулятор!$E$12=$H$105),H111,
IF(AND(Авто_Калькулятор!$B$4=C111,Авто_Калькулятор!$E$12=$I$105),I111,
IF(AND(Авто_Калькулятор!$B$4=C111,Авто_Калькулятор!$E$12=$J$105),J111,0)))))))</f>
        <v>0</v>
      </c>
      <c r="C111" s="76" t="s">
        <v>111</v>
      </c>
      <c r="D111" s="110">
        <v>0.01</v>
      </c>
      <c r="E111" s="110">
        <v>0.01</v>
      </c>
      <c r="F111" s="110">
        <v>0.01</v>
      </c>
      <c r="G111" s="110">
        <v>3.9899999999999998</v>
      </c>
      <c r="H111" s="110">
        <v>4.99</v>
      </c>
      <c r="I111" s="110">
        <v>5.99</v>
      </c>
      <c r="J111" s="110">
        <v>5.99</v>
      </c>
      <c r="K111" s="105">
        <f>IF(AND(Авто_Калькулятор!$B$4=C111, OR(Авто_Калькулятор!$E$12=$D$105,Авто_Калькулятор!$E$12=$E$105)),0,
IF(AND(Авто_Калькулятор!$B$4=C111,OR(Авто_Калькулятор!$E$12=$F$105)),0,0))</f>
        <v>0</v>
      </c>
      <c r="L111" s="56"/>
      <c r="M111" s="58"/>
    </row>
    <row r="112" spans="1:13" ht="15.75" thickBot="1" x14ac:dyDescent="0.3">
      <c r="A112" s="304"/>
      <c r="B112" s="72">
        <f>SUM(B106:B111)</f>
        <v>0</v>
      </c>
      <c r="C112" s="60"/>
      <c r="D112" s="93"/>
      <c r="E112" s="93"/>
      <c r="F112" s="93"/>
      <c r="G112" s="93"/>
      <c r="H112" s="93"/>
      <c r="I112" s="93"/>
      <c r="J112" s="93"/>
      <c r="K112" s="72">
        <f>SUM(K106:K111)</f>
        <v>0</v>
      </c>
      <c r="L112" s="60"/>
      <c r="M112" s="61"/>
    </row>
    <row r="113" spans="1:13" ht="15.75" x14ac:dyDescent="0.25">
      <c r="A113" s="302" t="s">
        <v>112</v>
      </c>
      <c r="B113" s="62" t="s">
        <v>26</v>
      </c>
      <c r="C113" s="63" t="s">
        <v>27</v>
      </c>
      <c r="D113" s="94">
        <v>12</v>
      </c>
      <c r="E113" s="94">
        <v>24</v>
      </c>
      <c r="F113" s="94">
        <v>36</v>
      </c>
      <c r="G113" s="94">
        <v>48</v>
      </c>
      <c r="H113" s="94">
        <v>60</v>
      </c>
      <c r="I113" s="94">
        <v>72</v>
      </c>
      <c r="J113" s="94">
        <v>84</v>
      </c>
      <c r="K113" s="46" t="s">
        <v>46</v>
      </c>
      <c r="L113" s="65" t="s">
        <v>28</v>
      </c>
      <c r="M113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119,IF(Авто_Калькулятор!$V$23&gt;=50,C118,IF(Авто_Калькулятор!$V$23&gt;=40,C117,IF(Авто_Калькулятор!$V$23&gt;=30,C116,IF(Авто_Калькулятор!$V$23&gt;=20,C115,IF(Авто_Калькулятор!$V$23&gt;=10,C114,))))))))&amp;IF(AND(Авто_Калькулятор!$V$23&lt;10,Авто_Калькулятор!$V$23&gt;0),"Сума авансового платежу недостатня","")</f>
        <v/>
      </c>
    </row>
    <row r="114" spans="1:13" x14ac:dyDescent="0.25">
      <c r="A114" s="303"/>
      <c r="B114" s="47">
        <f>IF(AND(Авто_Калькулятор!$B$4=C114,Авто_Калькулятор!$E$12=$D$113),D114,
IF(AND(Авто_Калькулятор!$B$4=C114,Авто_Калькулятор!$E$12=$E$113),E114,
IF(AND(Авто_Калькулятор!$B$4=C114,Авто_Калькулятор!$E$12=$F$113),F114,
IF(AND(Авто_Калькулятор!$B$4=C114,Авто_Калькулятор!$E$12=$G$113),G114,
IF(AND(Авто_Калькулятор!$B$4=C114,Авто_Калькулятор!$E$12=$H$113),H114,
IF(AND(Авто_Калькулятор!$B$4=C114,Авто_Калькулятор!$E$12=$I$113),I114,
IF(AND(Авто_Калькулятор!$B$4=C114,Авто_Калькулятор!$E$12=$J$113),J114,0)))))))</f>
        <v>0</v>
      </c>
      <c r="C114" s="75" t="s">
        <v>113</v>
      </c>
      <c r="D114" s="110">
        <v>1E-3</v>
      </c>
      <c r="E114" s="110">
        <v>9.49</v>
      </c>
      <c r="F114" s="110">
        <v>12.49</v>
      </c>
      <c r="G114" s="110">
        <v>12.49</v>
      </c>
      <c r="H114" s="110">
        <v>12.49</v>
      </c>
      <c r="I114" s="110">
        <v>12.49</v>
      </c>
      <c r="J114" s="110">
        <v>12.49</v>
      </c>
      <c r="K114" s="70">
        <f>IF(AND(Авто_Калькулятор!$B$4=C114, OR(Авто_Калькулятор!$E$12=$D$105,Авто_Калькулятор!$E$12=$E$105)),0,
IF(AND(Авто_Калькулятор!$B$4=C114,OR(Авто_Калькулятор!$E$12=$F$105)),0,0))</f>
        <v>0</v>
      </c>
      <c r="L114" s="52">
        <f>IF(Авто_Калькулятор!$E$12=D113,0,IF(Авто_Калькулятор!$E$12=E113,0,IF(Авто_Калькулятор!$E$12=F113,0,0%)))</f>
        <v>0</v>
      </c>
      <c r="M114" s="74" t="s">
        <v>89</v>
      </c>
    </row>
    <row r="115" spans="1:13" x14ac:dyDescent="0.25">
      <c r="A115" s="303"/>
      <c r="B115" s="47">
        <f>IF(AND(Авто_Калькулятор!$B$4=C115,Авто_Калькулятор!$E$12=$D$113),D115,
IF(AND(Авто_Калькулятор!$B$4=C115,Авто_Калькулятор!$E$12=$E$113),E115,
IF(AND(Авто_Калькулятор!$B$4=C115,Авто_Калькулятор!$E$12=$F$113),F115,
IF(AND(Авто_Калькулятор!$B$4=C115,Авто_Калькулятор!$E$12=$G$113),G115,
IF(AND(Авто_Калькулятор!$B$4=C115,Авто_Калькулятор!$E$12=$H$113),H115,
IF(AND(Авто_Калькулятор!$B$4=C115,Авто_Калькулятор!$E$12=$I$113),I115,
IF(AND(Авто_Калькулятор!$B$4=C115,Авто_Калькулятор!$E$12=$J$113),J115,0)))))))</f>
        <v>0</v>
      </c>
      <c r="C115" s="75" t="s">
        <v>114</v>
      </c>
      <c r="D115" s="110">
        <v>1E-3</v>
      </c>
      <c r="E115" s="110">
        <v>8.49</v>
      </c>
      <c r="F115" s="110">
        <v>11.49</v>
      </c>
      <c r="G115" s="110">
        <v>11.49</v>
      </c>
      <c r="H115" s="110">
        <v>11.49</v>
      </c>
      <c r="I115" s="110">
        <v>11.49</v>
      </c>
      <c r="J115" s="110">
        <v>11.49</v>
      </c>
      <c r="K115" s="70">
        <f>IF(AND(Авто_Калькулятор!$B$4=C115, OR(Авто_Калькулятор!$E$12=$D$105,Авто_Калькулятор!$E$12=$E$105)),0,
IF(AND(Авто_Калькулятор!$B$4=C115,OR(Авто_Калькулятор!$E$12=$F$105)),0,0))</f>
        <v>0</v>
      </c>
      <c r="L115" s="56"/>
      <c r="M115" s="58"/>
    </row>
    <row r="116" spans="1:13" x14ac:dyDescent="0.25">
      <c r="A116" s="303"/>
      <c r="B116" s="47">
        <f>IF(AND(Авто_Калькулятор!$B$4=C116,Авто_Калькулятор!$E$12=$D$113),D116,
IF(AND(Авто_Калькулятор!$B$4=C116,Авто_Калькулятор!$E$12=$E$113),E116,
IF(AND(Авто_Калькулятор!$B$4=C116,Авто_Калькулятор!$E$12=$F$113),F116,
IF(AND(Авто_Калькулятор!$B$4=C116,Авто_Калькулятор!$E$12=$G$113),G116,
IF(AND(Авто_Калькулятор!$B$4=C116,Авто_Калькулятор!$E$12=$H$113),H116,
IF(AND(Авто_Калькулятор!$B$4=C116,Авто_Калькулятор!$E$12=$I$113),I116,
IF(AND(Авто_Калькулятор!$B$4=C116,Авто_Калькулятор!$E$12=$J$113),J116,0)))))))</f>
        <v>0</v>
      </c>
      <c r="C116" s="75" t="s">
        <v>115</v>
      </c>
      <c r="D116" s="110">
        <v>1E-3</v>
      </c>
      <c r="E116" s="110">
        <v>7.4899999999999993</v>
      </c>
      <c r="F116" s="110">
        <v>10.489999999999998</v>
      </c>
      <c r="G116" s="110">
        <v>11.49</v>
      </c>
      <c r="H116" s="110">
        <v>11.49</v>
      </c>
      <c r="I116" s="110">
        <v>11.49</v>
      </c>
      <c r="J116" s="110">
        <v>11.49</v>
      </c>
      <c r="K116" s="70">
        <f>IF(AND(Авто_Калькулятор!$B$4=C116, OR(Авто_Калькулятор!$E$12=$D$105,Авто_Калькулятор!$E$12=$E$105)),0,
IF(AND(Авто_Калькулятор!$B$4=C116,OR(Авто_Калькулятор!$E$12=$F$105)),0,0))</f>
        <v>0</v>
      </c>
      <c r="L116" s="56"/>
      <c r="M116" s="58"/>
    </row>
    <row r="117" spans="1:13" x14ac:dyDescent="0.25">
      <c r="A117" s="303"/>
      <c r="B117" s="47">
        <f>IF(AND(Авто_Калькулятор!$B$4=C117,Авто_Калькулятор!$E$12=$D$113),D117,
IF(AND(Авто_Калькулятор!$B$4=C117,Авто_Калькулятор!$E$12=$E$113),E117,
IF(AND(Авто_Калькулятор!$B$4=C117,Авто_Калькулятор!$E$12=$F$113),F117,
IF(AND(Авто_Калькулятор!$B$4=C117,Авто_Калькулятор!$E$12=$G$113),G117,
IF(AND(Авто_Калькулятор!$B$4=C117,Авто_Калькулятор!$E$12=$H$113),H117,
IF(AND(Авто_Калькулятор!$B$4=C117,Авто_Калькулятор!$E$12=$I$113),I117,
IF(AND(Авто_Калькулятор!$B$4=C117,Авто_Калькулятор!$E$12=$J$113),J117,0)))))))</f>
        <v>0</v>
      </c>
      <c r="C117" s="76" t="s">
        <v>116</v>
      </c>
      <c r="D117" s="110">
        <v>1E-3</v>
      </c>
      <c r="E117" s="110">
        <v>5.4899999999999993</v>
      </c>
      <c r="F117" s="110">
        <v>9.49</v>
      </c>
      <c r="G117" s="110">
        <v>10.489999999999998</v>
      </c>
      <c r="H117" s="110">
        <v>10.489999999999998</v>
      </c>
      <c r="I117" s="110">
        <v>10.489999999999998</v>
      </c>
      <c r="J117" s="110">
        <v>10.489999999999998</v>
      </c>
      <c r="K117" s="70">
        <f>IF(AND(Авто_Калькулятор!$B$4=C117, OR(Авто_Калькулятор!$E$12=$D$105,Авто_Калькулятор!$E$12=$E$105)),0,
IF(AND(Авто_Калькулятор!$B$4=C117,OR(Авто_Калькулятор!$E$12=$F$105)),0,0))</f>
        <v>0</v>
      </c>
      <c r="L117" s="56"/>
      <c r="M117" s="58"/>
    </row>
    <row r="118" spans="1:13" x14ac:dyDescent="0.25">
      <c r="A118" s="303"/>
      <c r="B118" s="47">
        <f>IF(AND(Авто_Калькулятор!$B$4=C118,Авто_Калькулятор!$E$12=$D$113),D118,
IF(AND(Авто_Калькулятор!$B$4=C118,Авто_Калькулятор!$E$12=$E$113),E118,
IF(AND(Авто_Калькулятор!$B$4=C118,Авто_Калькулятор!$E$12=$F$113),F118,
IF(AND(Авто_Калькулятор!$B$4=C118,Авто_Калькулятор!$E$12=$G$113),G118,
IF(AND(Авто_Калькулятор!$B$4=C118,Авто_Калькулятор!$E$12=$H$113),H118,
IF(AND(Авто_Калькулятор!$B$4=C118,Авто_Калькулятор!$E$12=$I$113),I118,
IF(AND(Авто_Калькулятор!$B$4=C118,Авто_Калькулятор!$E$12=$J$113),J118,0)))))))</f>
        <v>0</v>
      </c>
      <c r="C118" s="76" t="s">
        <v>117</v>
      </c>
      <c r="D118" s="110">
        <v>1E-3</v>
      </c>
      <c r="E118" s="110">
        <v>4.49</v>
      </c>
      <c r="F118" s="110">
        <v>8.49</v>
      </c>
      <c r="G118" s="110">
        <v>9.49</v>
      </c>
      <c r="H118" s="110">
        <v>9.49</v>
      </c>
      <c r="I118" s="110">
        <v>9.49</v>
      </c>
      <c r="J118" s="110">
        <v>9.49</v>
      </c>
      <c r="K118" s="70">
        <f>IF(AND(Авто_Калькулятор!$B$4=C118, OR(Авто_Калькулятор!$E$12=$D$105,Авто_Калькулятор!$E$12=$E$105)),0,
IF(AND(Авто_Калькулятор!$B$4=C118,OR(Авто_Калькулятор!$E$12=$F$105)),0,0))</f>
        <v>0</v>
      </c>
      <c r="L118" s="56"/>
      <c r="M118" s="58"/>
    </row>
    <row r="119" spans="1:13" ht="15.75" thickBot="1" x14ac:dyDescent="0.3">
      <c r="A119" s="303"/>
      <c r="B119" s="47">
        <f>IF(AND(Авто_Калькулятор!$B$4=C119,Авто_Калькулятор!$E$12=$D$113),D119,
IF(AND(Авто_Калькулятор!$B$4=C119,Авто_Калькулятор!$E$12=$E$113),E119,
IF(AND(Авто_Калькулятор!$B$4=C119,Авто_Калькулятор!$E$12=$F$113),F119,
IF(AND(Авто_Калькулятор!$B$4=C119,Авто_Калькулятор!$E$12=$G$113),G119,
IF(AND(Авто_Калькулятор!$B$4=C119,Авто_Калькулятор!$E$12=$H$113),H119,
IF(AND(Авто_Калькулятор!$B$4=C119,Авто_Калькулятор!$E$12=$I$113),I119,
IF(AND(Авто_Калькулятор!$B$4=C119,Авто_Калькулятор!$E$12=$J$113),J119,0)))))))</f>
        <v>0</v>
      </c>
      <c r="C119" s="76" t="s">
        <v>118</v>
      </c>
      <c r="D119" s="110">
        <v>1E-3</v>
      </c>
      <c r="E119" s="110">
        <v>2.99</v>
      </c>
      <c r="F119" s="110">
        <v>7.4899999999999993</v>
      </c>
      <c r="G119" s="110">
        <v>9.49</v>
      </c>
      <c r="H119" s="110">
        <v>9.49</v>
      </c>
      <c r="I119" s="110">
        <v>9.49</v>
      </c>
      <c r="J119" s="110">
        <v>9.49</v>
      </c>
      <c r="K119" s="70">
        <f>IF(AND(Авто_Калькулятор!$B$4=C119, OR(Авто_Калькулятор!$E$12=$D$105,Авто_Калькулятор!$E$12=$E$105)),0,
IF(AND(Авто_Калькулятор!$B$4=C119,OR(Авто_Калькулятор!$E$12=$F$105)),0,0))</f>
        <v>0</v>
      </c>
      <c r="L119" s="56"/>
      <c r="M119" s="58"/>
    </row>
    <row r="120" spans="1:13" ht="15.75" thickBot="1" x14ac:dyDescent="0.3">
      <c r="A120" s="304"/>
      <c r="B120" s="72">
        <f>SUM(B114:B119)</f>
        <v>0</v>
      </c>
      <c r="C120" s="60"/>
      <c r="D120" s="93"/>
      <c r="E120" s="93"/>
      <c r="F120" s="93"/>
      <c r="G120" s="93"/>
      <c r="H120" s="93"/>
      <c r="I120" s="93"/>
      <c r="J120" s="93"/>
      <c r="K120" s="72">
        <f>SUM(K114:K119)</f>
        <v>0</v>
      </c>
      <c r="L120" s="60"/>
      <c r="M120" s="61"/>
    </row>
    <row r="121" spans="1:13" ht="15.75" x14ac:dyDescent="0.25">
      <c r="A121" s="302" t="s">
        <v>119</v>
      </c>
      <c r="B121" s="62" t="s">
        <v>26</v>
      </c>
      <c r="C121" s="63" t="s">
        <v>27</v>
      </c>
      <c r="D121" s="94">
        <v>12</v>
      </c>
      <c r="E121" s="94">
        <v>24</v>
      </c>
      <c r="F121" s="94">
        <v>36</v>
      </c>
      <c r="G121" s="94">
        <v>48</v>
      </c>
      <c r="H121" s="94">
        <v>60</v>
      </c>
      <c r="I121" s="94">
        <v>72</v>
      </c>
      <c r="J121" s="94">
        <v>84</v>
      </c>
      <c r="K121" s="46" t="s">
        <v>46</v>
      </c>
      <c r="L121" s="65" t="s">
        <v>28</v>
      </c>
      <c r="M121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127,IF(Авто_Калькулятор!$V$23&gt;=50,C126,IF(Авто_Калькулятор!$V$23&gt;=40,C125,IF(Авто_Калькулятор!$V$23&gt;=30,C124,IF(Авто_Калькулятор!$V$23&gt;=20,C123,IF(Авто_Калькулятор!$V$23&gt;=10,C122,))))))))&amp;IF(AND(Авто_Калькулятор!$V$23&lt;10,Авто_Калькулятор!$V$23&gt;0),"Сума авансового платежу недостатня","")</f>
        <v/>
      </c>
    </row>
    <row r="122" spans="1:13" x14ac:dyDescent="0.25">
      <c r="A122" s="303"/>
      <c r="B122" s="47">
        <f>IF(AND(Авто_Калькулятор!$B$4=C122,Авто_Калькулятор!$E$12=$D$121),D122,
IF(AND(Авто_Калькулятор!$B$4=C122,Авто_Калькулятор!$E$12=$E$121),E122,
IF(AND(Авто_Калькулятор!$B$4=C122,Авто_Калькулятор!$E$12=$F$121),F122,
IF(AND(Авто_Калькулятор!$B$4=C122,Авто_Калькулятор!$E$12=$G$121),G122,
IF(AND(Авто_Калькулятор!$B$4=C122,Авто_Калькулятор!$E$12=$H$121),H122,
IF(AND(Авто_Калькулятор!$B$4=C122,Авто_Калькулятор!$E$12=$I$121),I122,
IF(AND(Авто_Калькулятор!$B$4=C122,Авто_Калькулятор!$E$12=$J$121),J122,0)))))))</f>
        <v>0</v>
      </c>
      <c r="C122" s="76" t="s">
        <v>120</v>
      </c>
      <c r="D122" s="97">
        <v>1E-3</v>
      </c>
      <c r="E122" s="97">
        <v>1E-3</v>
      </c>
      <c r="F122" s="97">
        <v>1E-3</v>
      </c>
      <c r="G122" s="97">
        <v>1E-3</v>
      </c>
      <c r="H122" s="97">
        <v>1E-3</v>
      </c>
      <c r="I122" s="97">
        <v>1E-3</v>
      </c>
      <c r="J122" s="97">
        <v>1E-3</v>
      </c>
      <c r="K122" s="105">
        <f>IF(AND(Авто_Калькулятор!$B$4=C122,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IF(AND(Авто_Калькулятор!$B$4=C122,OR(Авто_Калькулятор!$E$12=$F$121)),0.0299,0))</f>
        <v>0</v>
      </c>
      <c r="L122" s="106">
        <f>IF(Авто_Калькулятор!$E$12=D121,0%,IF(Авто_Калькулятор!$E$12=E121,3.99%,IF(Авто_Калькулятор!$E$12=F121,0%,IF(Авто_Калькулятор!$E$12=G121,0%,0%))))</f>
        <v>0</v>
      </c>
      <c r="M122" s="74" t="s">
        <v>89</v>
      </c>
    </row>
    <row r="123" spans="1:13" x14ac:dyDescent="0.25">
      <c r="A123" s="303"/>
      <c r="B123" s="47">
        <f>IF(AND(Авто_Калькулятор!$B$4=C123,Авто_Калькулятор!$E$12=$D$121),D123,
IF(AND(Авто_Калькулятор!$B$4=C123,Авто_Калькулятор!$E$12=$E$121),E123,
IF(AND(Авто_Калькулятор!$B$4=C123,Авто_Калькулятор!$E$12=$F$121),F123,
IF(AND(Авто_Калькулятор!$B$4=C123,Авто_Калькулятор!$E$12=$G$121),G123,
IF(AND(Авто_Калькулятор!$B$4=C123,Авто_Калькулятор!$E$12=$H$121),H123,
IF(AND(Авто_Калькулятор!$B$4=C123,Авто_Калькулятор!$E$12=$I$121),I123,
IF(AND(Авто_Калькулятор!$B$4=C123,Авто_Калькулятор!$E$12=$J$121),J123,0)))))))</f>
        <v>0</v>
      </c>
      <c r="C123" s="76" t="s">
        <v>121</v>
      </c>
      <c r="D123" s="97">
        <v>1E-3</v>
      </c>
      <c r="E123" s="97">
        <v>1E-3</v>
      </c>
      <c r="F123" s="97">
        <v>1E-3</v>
      </c>
      <c r="G123" s="97">
        <v>1E-3</v>
      </c>
      <c r="H123" s="97">
        <v>1E-3</v>
      </c>
      <c r="I123" s="97">
        <v>1E-3</v>
      </c>
      <c r="J123" s="97">
        <v>1E-3</v>
      </c>
      <c r="K123" s="105">
        <f>IF(AND(Авто_Калькулятор!$B$4=C123,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IF(AND(Авто_Калькулятор!$B$4=C123,OR(Авто_Калькулятор!$E$12=$F$121)),0.0299,0))</f>
        <v>0</v>
      </c>
      <c r="L123" s="56"/>
      <c r="M123" s="58"/>
    </row>
    <row r="124" spans="1:13" x14ac:dyDescent="0.25">
      <c r="A124" s="303"/>
      <c r="B124" s="47">
        <f>IF(AND(Авто_Калькулятор!$B$4=C124,Авто_Калькулятор!$E$12=$D$121),D124,
IF(AND(Авто_Калькулятор!$B$4=C124,Авто_Калькулятор!$E$12=$E$121),E124,
IF(AND(Авто_Калькулятор!$B$4=C124,Авто_Калькулятор!$E$12=$F$121),F124,
IF(AND(Авто_Калькулятор!$B$4=C124,Авто_Калькулятор!$E$12=$G$121),G124,
IF(AND(Авто_Калькулятор!$B$4=C124,Авто_Калькулятор!$E$12=$H$121),H124,
IF(AND(Авто_Калькулятор!$B$4=C124,Авто_Калькулятор!$E$12=$I$121),I124,
IF(AND(Авто_Калькулятор!$B$4=C124,Авто_Калькулятор!$E$12=$J$121),J124,0)))))))</f>
        <v>0</v>
      </c>
      <c r="C124" s="76" t="s">
        <v>122</v>
      </c>
      <c r="D124" s="97">
        <v>1E-3</v>
      </c>
      <c r="E124" s="97">
        <v>1E-3</v>
      </c>
      <c r="F124" s="97">
        <v>1E-3</v>
      </c>
      <c r="G124" s="97">
        <v>1E-3</v>
      </c>
      <c r="H124" s="97">
        <v>1E-3</v>
      </c>
      <c r="I124" s="97">
        <v>1E-3</v>
      </c>
      <c r="J124" s="97">
        <v>1E-3</v>
      </c>
      <c r="K124" s="105">
        <f>IF(AND(Авто_Калькулятор!$B$4=C124,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IF(AND(Авто_Калькулятор!$B$4=C124,OR(Авто_Калькулятор!$E$12=$F$121)),0.0299,0))</f>
        <v>0</v>
      </c>
      <c r="L124" s="56"/>
      <c r="M124" s="58"/>
    </row>
    <row r="125" spans="1:13" x14ac:dyDescent="0.25">
      <c r="A125" s="303"/>
      <c r="B125" s="47">
        <f>IF(AND(Авто_Калькулятор!$B$4=C125,Авто_Калькулятор!$E$12=$D$121),D125,
IF(AND(Авто_Калькулятор!$B$4=C125,Авто_Калькулятор!$E$12=$E$121),E125,
IF(AND(Авто_Калькулятор!$B$4=C125,Авто_Калькулятор!$E$12=$F$121),F125,
IF(AND(Авто_Калькулятор!$B$4=C125,Авто_Калькулятор!$E$12=$G$121),G125,
IF(AND(Авто_Калькулятор!$B$4=C125,Авто_Калькулятор!$E$12=$H$121),H125,
IF(AND(Авто_Калькулятор!$B$4=C125,Авто_Калькулятор!$E$12=$I$121),I125,
IF(AND(Авто_Калькулятор!$B$4=C125,Авто_Калькулятор!$E$12=$J$121),J125,0)))))))</f>
        <v>0</v>
      </c>
      <c r="C125" s="76" t="s">
        <v>123</v>
      </c>
      <c r="D125" s="97">
        <v>1E-3</v>
      </c>
      <c r="E125" s="97">
        <v>1E-3</v>
      </c>
      <c r="F125" s="97">
        <v>1E-3</v>
      </c>
      <c r="G125" s="97">
        <v>1E-3</v>
      </c>
      <c r="H125" s="97">
        <v>1E-3</v>
      </c>
      <c r="I125" s="97">
        <v>1E-3</v>
      </c>
      <c r="J125" s="97">
        <v>1E-3</v>
      </c>
      <c r="K125" s="105">
        <f>IF(AND(Авто_Калькулятор!$B$4=C125,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IF(AND(Авто_Калькулятор!$B$4=C125,OR(Авто_Калькулятор!$E$12=$F$121)),0.0299,0))</f>
        <v>0</v>
      </c>
      <c r="L125" s="56"/>
      <c r="M125" s="58"/>
    </row>
    <row r="126" spans="1:13" x14ac:dyDescent="0.25">
      <c r="A126" s="303"/>
      <c r="B126" s="47">
        <f>IF(AND(Авто_Калькулятор!$B$4=C126,Авто_Калькулятор!$E$12=$D$121),D126,
IF(AND(Авто_Калькулятор!$B$4=C126,Авто_Калькулятор!$E$12=$E$121),E126,
IF(AND(Авто_Калькулятор!$B$4=C126,Авто_Калькулятор!$E$12=$F$121),F126,
IF(AND(Авто_Калькулятор!$B$4=C126,Авто_Калькулятор!$E$12=$G$121),G126,
IF(AND(Авто_Калькулятор!$B$4=C126,Авто_Калькулятор!$E$12=$H$121),H126,
IF(AND(Авто_Калькулятор!$B$4=C126,Авто_Калькулятор!$E$12=$I$121),I126,
IF(AND(Авто_Калькулятор!$B$4=C126,Авто_Калькулятор!$E$12=$J$121),J126,0)))))))</f>
        <v>0</v>
      </c>
      <c r="C126" s="76" t="s">
        <v>124</v>
      </c>
      <c r="D126" s="97">
        <v>1E-3</v>
      </c>
      <c r="E126" s="97">
        <v>1E-3</v>
      </c>
      <c r="F126" s="97">
        <v>1E-3</v>
      </c>
      <c r="G126" s="97">
        <v>1E-3</v>
      </c>
      <c r="H126" s="97">
        <v>1E-3</v>
      </c>
      <c r="I126" s="97">
        <v>1E-3</v>
      </c>
      <c r="J126" s="97">
        <v>1E-3</v>
      </c>
      <c r="K126" s="105">
        <f>IF(AND(Авто_Калькулятор!$B$4=C126,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IF(AND(Авто_Калькулятор!$B$4=C126,OR(Авто_Калькулятор!$E$12=$F$121)),0.0299,0))</f>
        <v>0</v>
      </c>
      <c r="L126" s="56"/>
      <c r="M126" s="58"/>
    </row>
    <row r="127" spans="1:13" ht="15.75" thickBot="1" x14ac:dyDescent="0.3">
      <c r="A127" s="303"/>
      <c r="B127" s="47">
        <f>IF(AND(Авто_Калькулятор!$B$4=C127,Авто_Калькулятор!$E$12=$D$121),D127,
IF(AND(Авто_Калькулятор!$B$4=C127,Авто_Калькулятор!$E$12=$E$121),E127,
IF(AND(Авто_Калькулятор!$B$4=C127,Авто_Калькулятор!$E$12=$F$121),F127,
IF(AND(Авто_Калькулятор!$B$4=C127,Авто_Калькулятор!$E$12=$G$121),G127,
IF(AND(Авто_Калькулятор!$B$4=C127,Авто_Калькулятор!$E$12=$H$121),H127,
IF(AND(Авто_Калькулятор!$B$4=C127,Авто_Калькулятор!$E$12=$I$121),I127,
IF(AND(Авто_Калькулятор!$B$4=C127,Авто_Калькулятор!$E$12=$J$121),J127,0)))))))</f>
        <v>0</v>
      </c>
      <c r="C127" s="76" t="s">
        <v>125</v>
      </c>
      <c r="D127" s="97">
        <v>1E-3</v>
      </c>
      <c r="E127" s="97">
        <v>1E-3</v>
      </c>
      <c r="F127" s="97">
        <v>1E-3</v>
      </c>
      <c r="G127" s="97">
        <v>1E-3</v>
      </c>
      <c r="H127" s="97">
        <v>1E-3</v>
      </c>
      <c r="I127" s="97">
        <v>1E-3</v>
      </c>
      <c r="J127" s="97">
        <v>1E-3</v>
      </c>
      <c r="K127" s="105">
        <f>IF(AND(Авто_Калькулятор!$B$4=C127,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IF(AND(Авто_Калькулятор!$B$4=C127,OR(Авто_Калькулятор!$E$12=$F$121)),0.0299,0))</f>
        <v>0</v>
      </c>
      <c r="L127" s="56"/>
      <c r="M127" s="58"/>
    </row>
    <row r="128" spans="1:13" ht="15.75" thickBot="1" x14ac:dyDescent="0.3">
      <c r="A128" s="304"/>
      <c r="B128" s="72">
        <f>SUM(B122:B127)</f>
        <v>0</v>
      </c>
      <c r="C128" s="60"/>
      <c r="D128" s="93"/>
      <c r="E128" s="93"/>
      <c r="F128" s="93"/>
      <c r="G128" s="93"/>
      <c r="H128" s="93"/>
      <c r="I128" s="93"/>
      <c r="J128" s="93"/>
      <c r="K128" s="72">
        <f>SUM(K122:K127)</f>
        <v>0</v>
      </c>
      <c r="L128" s="60"/>
      <c r="M128" s="61"/>
    </row>
    <row r="129" spans="1:13" ht="15.75" x14ac:dyDescent="0.25">
      <c r="A129" s="302" t="s">
        <v>135</v>
      </c>
      <c r="B129" s="62" t="s">
        <v>26</v>
      </c>
      <c r="C129" s="63" t="s">
        <v>27</v>
      </c>
      <c r="D129" s="94">
        <v>12</v>
      </c>
      <c r="E129" s="94">
        <v>24</v>
      </c>
      <c r="F129" s="94">
        <v>36</v>
      </c>
      <c r="G129" s="94">
        <v>48</v>
      </c>
      <c r="H129" s="94">
        <v>60</v>
      </c>
      <c r="I129" s="94">
        <v>72</v>
      </c>
      <c r="J129" s="94">
        <v>84</v>
      </c>
      <c r="K129" s="46" t="s">
        <v>46</v>
      </c>
      <c r="L129" s="65" t="s">
        <v>28</v>
      </c>
      <c r="M129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135,IF(Авто_Калькулятор!$V$23&gt;=50,C134,IF(Авто_Калькулятор!$V$23&gt;=40,C133,IF(Авто_Калькулятор!$V$23&gt;=30,C132,IF(Авто_Калькулятор!$V$23&gt;=20,C131,IF(Авто_Калькулятор!$V$23&gt;=10,C130,))))))))&amp;IF(AND(Авто_Калькулятор!$V$23&lt;10,Авто_Калькулятор!$V$23&gt;0),"Сума авансового платежу недостатня","")</f>
        <v/>
      </c>
    </row>
    <row r="130" spans="1:13" x14ac:dyDescent="0.25">
      <c r="A130" s="303"/>
      <c r="B130" s="47">
        <f>IF(AND(Авто_Калькулятор!$B$4=C130,Авто_Калькулятор!$E$12=$D$129),D130,
IF(AND(Авто_Калькулятор!$B$4=C130,Авто_Калькулятор!$E$12=$E$129),E130,
IF(AND(Авто_Калькулятор!$B$4=C130,Авто_Калькулятор!$E$12=$F$129),F130,
IF(AND(Авто_Калькулятор!$B$4=C130,Авто_Калькулятор!$E$12=$G$129),G130,
IF(AND(Авто_Калькулятор!$B$4=C130,Авто_Калькулятор!$E$12=$H$129),H130,
IF(AND(Авто_Калькулятор!$B$4=C130,Авто_Калькулятор!$E$12=$I$129),I130,
IF(AND(Авто_Калькулятор!$B$4=C130,Авто_Калькулятор!$E$12=$J$129),J130,0)))))))</f>
        <v>0</v>
      </c>
      <c r="C130" s="76" t="s">
        <v>164</v>
      </c>
      <c r="D130" s="110">
        <v>1.9900000000000002</v>
      </c>
      <c r="E130" s="110">
        <v>5.99</v>
      </c>
      <c r="F130" s="110">
        <v>10.99</v>
      </c>
      <c r="G130" s="110">
        <v>11.99</v>
      </c>
      <c r="H130" s="110">
        <v>11.99</v>
      </c>
      <c r="I130" s="110">
        <v>11.99</v>
      </c>
      <c r="J130" s="110">
        <v>11.99</v>
      </c>
      <c r="K130" s="70">
        <f>IF(AND(Авто_Калькулятор!$B$4=C130, OR(Авто_Калькулятор!$E$12=$D$129,Авто_Калькулятор!$E$12=$E$129,Авто_Калькулятор!$E$12=$F$129,)),0.0199,
IF(AND(Авто_Калькулятор!$B$4=C130,OR(Авто_Калькулятор!$E$12=$G$129,Авто_Калькулятор!$E$12=$H$129,Авто_Калькулятор!$E$12=$I$129,Авто_Калькулятор!$E$12=$J$129)),0,0))</f>
        <v>0</v>
      </c>
      <c r="L130" s="52">
        <f>IF(Авто_Калькулятор!$E$12=D129,0%,IF(OR(Авто_Калькулятор!$E$12=E129,Авто_Калькулятор!$E$12=F129),0%,0%))</f>
        <v>0</v>
      </c>
      <c r="M130" s="74" t="s">
        <v>89</v>
      </c>
    </row>
    <row r="131" spans="1:13" x14ac:dyDescent="0.25">
      <c r="A131" s="303"/>
      <c r="B131" s="47">
        <f>IF(AND(Авто_Калькулятор!$B$4=C131,Авто_Калькулятор!$E$12=$D$129),D131,
IF(AND(Авто_Калькулятор!$B$4=C131,Авто_Калькулятор!$E$12=$E$129),E131,
IF(AND(Авто_Калькулятор!$B$4=C131,Авто_Калькулятор!$E$12=$F$129),F131,
IF(AND(Авто_Калькулятор!$B$4=C131,Авто_Калькулятор!$E$12=$G$129),G131,
IF(AND(Авто_Калькулятор!$B$4=C131,Авто_Калькулятор!$E$12=$H$129),H131,
IF(AND(Авто_Калькулятор!$B$4=C131,Авто_Калькулятор!$E$12=$I$129),I131,
IF(AND(Авто_Калькулятор!$B$4=C131,Авто_Калькулятор!$E$12=$J$129),J131,0)))))))</f>
        <v>0</v>
      </c>
      <c r="C131" s="76" t="s">
        <v>165</v>
      </c>
      <c r="D131" s="110">
        <v>1E-3</v>
      </c>
      <c r="E131" s="110">
        <v>4.99</v>
      </c>
      <c r="F131" s="110">
        <v>8.99</v>
      </c>
      <c r="G131" s="110">
        <v>11.99</v>
      </c>
      <c r="H131" s="110">
        <v>11.99</v>
      </c>
      <c r="I131" s="110">
        <v>11.99</v>
      </c>
      <c r="J131" s="110">
        <v>11.99</v>
      </c>
      <c r="K131" s="70">
        <f>IF(AND(Авто_Калькулятор!$B$4=C131, OR(Авто_Калькулятор!$E$12=$D$129,Авто_Калькулятор!$E$12=$E$129,Авто_Калькулятор!$E$12=$F$129,)),0.0199,
IF(AND(Авто_Калькулятор!$B$4=C131,OR(Авто_Калькулятор!$E$12=$G$129,Авто_Калькулятор!$E$12=$H$129,Авто_Калькулятор!$E$12=$I$129,Авто_Калькулятор!$E$12=$J$129)),0,0))</f>
        <v>0</v>
      </c>
      <c r="L131" s="56"/>
      <c r="M131" s="58"/>
    </row>
    <row r="132" spans="1:13" x14ac:dyDescent="0.25">
      <c r="A132" s="303"/>
      <c r="B132" s="47">
        <f>IF(AND(Авто_Калькулятор!$B$4=C132,Авто_Калькулятор!$E$12=$D$129),D132,
IF(AND(Авто_Калькулятор!$B$4=C132,Авто_Калькулятор!$E$12=$E$129),E132,
IF(AND(Авто_Калькулятор!$B$4=C132,Авто_Калькулятор!$E$12=$F$129),F132,
IF(AND(Авто_Калькулятор!$B$4=C132,Авто_Калькулятор!$E$12=$G$129),G132,
IF(AND(Авто_Калькулятор!$B$4=C132,Авто_Калькулятор!$E$12=$H$129),H132,
IF(AND(Авто_Калькулятор!$B$4=C132,Авто_Калькулятор!$E$12=$I$129),I132,
IF(AND(Авто_Калькулятор!$B$4=C132,Авто_Калькулятор!$E$12=$J$129),J132,0)))))))</f>
        <v>0</v>
      </c>
      <c r="C132" s="76" t="s">
        <v>166</v>
      </c>
      <c r="D132" s="110">
        <v>1E-3</v>
      </c>
      <c r="E132" s="110">
        <v>4.99</v>
      </c>
      <c r="F132" s="110">
        <v>8.99</v>
      </c>
      <c r="G132" s="110">
        <v>10.99</v>
      </c>
      <c r="H132" s="110">
        <v>10.99</v>
      </c>
      <c r="I132" s="110">
        <v>10.99</v>
      </c>
      <c r="J132" s="110">
        <v>11.99</v>
      </c>
      <c r="K132" s="70">
        <f>IF(AND(Авто_Калькулятор!$B$4=C132, OR(Авто_Калькулятор!$E$12=$D$129,Авто_Калькулятор!$E$12=$E$129,Авто_Калькулятор!$E$12=$F$129,)),0.0199,
IF(AND(Авто_Калькулятор!$B$4=C132,OR(Авто_Калькулятор!$E$12=$G$129,Авто_Калькулятор!$E$12=$H$129,Авто_Калькулятор!$E$12=$I$129,Авто_Калькулятор!$E$12=$J$129)),0,0))</f>
        <v>0</v>
      </c>
      <c r="L132" s="56"/>
      <c r="M132" s="58"/>
    </row>
    <row r="133" spans="1:13" x14ac:dyDescent="0.25">
      <c r="A133" s="303"/>
      <c r="B133" s="47">
        <f>IF(AND(Авто_Калькулятор!$B$4=C133,Авто_Калькулятор!$E$12=$D$129),D133,
IF(AND(Авто_Калькулятор!$B$4=C133,Авто_Калькулятор!$E$12=$E$129),E133,
IF(AND(Авто_Калькулятор!$B$4=C133,Авто_Калькулятор!$E$12=$F$129),F133,
IF(AND(Авто_Калькулятор!$B$4=C133,Авто_Калькулятор!$E$12=$G$129),G133,
IF(AND(Авто_Калькулятор!$B$4=C133,Авто_Калькулятор!$E$12=$H$129),H133,
IF(AND(Авто_Калькулятор!$B$4=C133,Авто_Калькулятор!$E$12=$I$129),I133,
IF(AND(Авто_Калькулятор!$B$4=C133,Авто_Калькулятор!$E$12=$J$129),J133,0)))))))</f>
        <v>0</v>
      </c>
      <c r="C133" s="76" t="s">
        <v>167</v>
      </c>
      <c r="D133" s="110">
        <v>1E-3</v>
      </c>
      <c r="E133" s="110">
        <v>3.9899999999999998</v>
      </c>
      <c r="F133" s="110">
        <v>8.99</v>
      </c>
      <c r="G133" s="110">
        <v>9.99</v>
      </c>
      <c r="H133" s="110">
        <v>9.99</v>
      </c>
      <c r="I133" s="110">
        <v>10.99</v>
      </c>
      <c r="J133" s="110">
        <v>11.99</v>
      </c>
      <c r="K133" s="70">
        <f>IF(AND(Авто_Калькулятор!$B$4=C133, OR(Авто_Калькулятор!$E$12=$D$129,Авто_Калькулятор!$E$12=$E$129,Авто_Калькулятор!$E$12=$F$129,)),0.0199,
IF(AND(Авто_Калькулятор!$B$4=C133,OR(Авто_Калькулятор!$E$12=$G$129,Авто_Калькулятор!$E$12=$H$129,Авто_Калькулятор!$E$12=$I$129,Авто_Калькулятор!$E$12=$J$129)),0,0))</f>
        <v>0</v>
      </c>
      <c r="L133" s="56"/>
      <c r="M133" s="58"/>
    </row>
    <row r="134" spans="1:13" x14ac:dyDescent="0.25">
      <c r="A134" s="303"/>
      <c r="B134" s="47">
        <f>IF(AND(Авто_Калькулятор!$B$4=C134,Авто_Калькулятор!$E$12=$D$129),D134,
IF(AND(Авто_Калькулятор!$B$4=C134,Авто_Калькулятор!$E$12=$E$129),E134,
IF(AND(Авто_Калькулятор!$B$4=C134,Авто_Калькулятор!$E$12=$F$129),F134,
IF(AND(Авто_Калькулятор!$B$4=C134,Авто_Калькулятор!$E$12=$G$129),G134,
IF(AND(Авто_Калькулятор!$B$4=C134,Авто_Калькулятор!$E$12=$H$129),H134,
IF(AND(Авто_Калькулятор!$B$4=C134,Авто_Калькулятор!$E$12=$I$129),I134,
IF(AND(Авто_Калькулятор!$B$4=C134,Авто_Калькулятор!$E$12=$J$129),J134,0)))))))</f>
        <v>0</v>
      </c>
      <c r="C134" s="76" t="s">
        <v>143</v>
      </c>
      <c r="D134" s="110">
        <v>1E-3</v>
      </c>
      <c r="E134" s="110">
        <v>1E-3</v>
      </c>
      <c r="F134" s="110">
        <v>7.99</v>
      </c>
      <c r="G134" s="110">
        <v>8.99</v>
      </c>
      <c r="H134" s="110">
        <v>8.99</v>
      </c>
      <c r="I134" s="110">
        <v>9.99</v>
      </c>
      <c r="J134" s="110">
        <v>10.99</v>
      </c>
      <c r="K134" s="70">
        <f>IF(AND(Авто_Калькулятор!$B$4=C134, OR(Авто_Калькулятор!$E$12=$D$129,Авто_Калькулятор!$E$12=$E$129,Авто_Калькулятор!$E$12=$F$129,)),0.0199,
IF(AND(Авто_Калькулятор!$B$4=C134,OR(Авто_Калькулятор!$E$12=$G$129,Авто_Калькулятор!$E$12=$H$129,Авто_Калькулятор!$E$12=$I$129,Авто_Калькулятор!$E$12=$J$129)),0,0))</f>
        <v>0</v>
      </c>
      <c r="L134" s="56"/>
      <c r="M134" s="58"/>
    </row>
    <row r="135" spans="1:13" ht="15.75" thickBot="1" x14ac:dyDescent="0.3">
      <c r="A135" s="303"/>
      <c r="B135" s="47">
        <f>IF(AND(Авто_Калькулятор!$B$4=C135,Авто_Калькулятор!$E$12=$D$129),D135,
IF(AND(Авто_Калькулятор!$B$4=C135,Авто_Калькулятор!$E$12=$E$129),E135,
IF(AND(Авто_Калькулятор!$B$4=C135,Авто_Калькулятор!$E$12=$F$129),F135,
IF(AND(Авто_Калькулятор!$B$4=C135,Авто_Калькулятор!$E$12=$G$129),G135,
IF(AND(Авто_Калькулятор!$B$4=C135,Авто_Калькулятор!$E$12=$H$129),H135,
IF(AND(Авто_Калькулятор!$B$4=C135,Авто_Калькулятор!$E$12=$I$129),I135,
IF(AND(Авто_Калькулятор!$B$4=C135,Авто_Калькулятор!$E$12=$J$129),J135,0)))))))</f>
        <v>0</v>
      </c>
      <c r="C135" s="76" t="s">
        <v>168</v>
      </c>
      <c r="D135" s="110">
        <v>1E-3</v>
      </c>
      <c r="E135" s="110">
        <v>1E-3</v>
      </c>
      <c r="F135" s="110">
        <v>6.99</v>
      </c>
      <c r="G135" s="110">
        <v>7.99</v>
      </c>
      <c r="H135" s="110">
        <v>7.99</v>
      </c>
      <c r="I135" s="110">
        <v>9.99</v>
      </c>
      <c r="J135" s="110">
        <v>10.99</v>
      </c>
      <c r="K135" s="70">
        <f>IF(AND(Авто_Калькулятор!$B$4=C135, OR(Авто_Калькулятор!$E$12=$D$129,Авто_Калькулятор!$E$12=$E$129,Авто_Калькулятор!$E$12=$F$129,)),0.0199,
IF(AND(Авто_Калькулятор!$B$4=C135,OR(Авто_Калькулятор!$E$12=$G$129,Авто_Калькулятор!$E$12=$H$129,Авто_Калькулятор!$E$12=$I$129,Авто_Калькулятор!$E$12=$J$129)),0,0))</f>
        <v>0</v>
      </c>
      <c r="L135" s="56"/>
      <c r="M135" s="58"/>
    </row>
    <row r="136" spans="1:13" ht="15.75" thickBot="1" x14ac:dyDescent="0.3">
      <c r="A136" s="304"/>
      <c r="B136" s="72">
        <f>SUM(B130:B135)</f>
        <v>0</v>
      </c>
      <c r="C136" s="60"/>
      <c r="D136" s="11"/>
      <c r="E136" s="11"/>
      <c r="F136" s="11"/>
      <c r="G136" s="11"/>
      <c r="H136" s="11"/>
      <c r="I136" s="11"/>
      <c r="J136" s="11"/>
      <c r="K136" s="72">
        <f>SUM(K130:K135)</f>
        <v>0</v>
      </c>
      <c r="L136" s="60"/>
      <c r="M136" s="61"/>
    </row>
    <row r="137" spans="1:13" ht="15.75" x14ac:dyDescent="0.25">
      <c r="A137" s="308" t="s">
        <v>136</v>
      </c>
      <c r="B137" s="62" t="s">
        <v>26</v>
      </c>
      <c r="C137" s="63" t="s">
        <v>27</v>
      </c>
      <c r="D137" s="94">
        <v>12</v>
      </c>
      <c r="E137" s="94">
        <v>24</v>
      </c>
      <c r="F137" s="94">
        <v>36</v>
      </c>
      <c r="G137" s="94">
        <v>48</v>
      </c>
      <c r="H137" s="94">
        <v>60</v>
      </c>
      <c r="I137" s="94">
        <v>72</v>
      </c>
      <c r="J137" s="94">
        <v>84</v>
      </c>
      <c r="K137" s="46" t="s">
        <v>46</v>
      </c>
      <c r="L137" s="65" t="s">
        <v>28</v>
      </c>
      <c r="M137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143,IF(Авто_Калькулятор!$V$23&gt;=50,C142,IF(Авто_Калькулятор!$V$23&gt;=40,C141,IF(Авто_Калькулятор!$V$23&gt;=30,C140,IF(Авто_Калькулятор!$V$23&gt;=20,C139,IF(Авто_Калькулятор!$V$23&gt;=10,C138,))))))))&amp;IF(AND(Авто_Калькулятор!$V$23&lt;10,Авто_Калькулятор!$V$23&gt;0),"Сума авансового платежу недостатня","")</f>
        <v/>
      </c>
    </row>
    <row r="138" spans="1:13" x14ac:dyDescent="0.25">
      <c r="A138" s="309"/>
      <c r="B138" s="47">
        <f>IF(AND(Авто_Калькулятор!$B$4=C138,Авто_Калькулятор!$E$12=$D$137),D138,
IF(AND(Авто_Калькулятор!$B$4=C138,Авто_Калькулятор!$E$12=$E$137),E138,
IF(AND(Авто_Калькулятор!$B$4=C138,Авто_Калькулятор!$E$12=$F$137),F138,
IF(AND(Авто_Калькулятор!$B$4=C138,Авто_Калькулятор!$E$12=$G$137),G138,
IF(AND(Авто_Калькулятор!$B$4=C138,Авто_Калькулятор!$E$12=$H$137),H138,
IF(AND(Авто_Калькулятор!$B$4=C138,Авто_Калькулятор!$E$12=$I$137),I138,
IF(AND(Авто_Калькулятор!$B$4=C138,Авто_Калькулятор!$E$12=$J$137),J138,0)))))))</f>
        <v>0</v>
      </c>
      <c r="C138" s="75" t="s">
        <v>137</v>
      </c>
      <c r="D138" s="98">
        <v>3.49</v>
      </c>
      <c r="E138" s="98">
        <v>8.49</v>
      </c>
      <c r="F138" s="98">
        <v>11.49</v>
      </c>
      <c r="G138" s="98">
        <v>11.49</v>
      </c>
      <c r="H138" s="98">
        <v>11.49</v>
      </c>
      <c r="I138" s="98">
        <v>11.49</v>
      </c>
      <c r="J138" s="98">
        <v>11.49</v>
      </c>
      <c r="K138" s="70">
        <f>IF(AND(Авто_Калькулятор!$B$4=C138, OR(Авто_Калькулятор!$E$12=$D$137,Авто_Калькулятор!$E$12=$E$137,Авто_Калькулятор!$E$12=$F$137,)),0.0199,
IF(AND(Авто_Калькулятор!$B$4=C138,OR(Авто_Калькулятор!$E$12=$G$137,Авто_Калькулятор!$E$12=$H$137,Авто_Калькулятор!$E$12=$I$137,Авто_Калькулятор!$E$12=$J$137)),0.0299,0))</f>
        <v>0</v>
      </c>
      <c r="L138" s="52">
        <f>IF(Авто_Калькулятор!$E$12=D137,1.99%,IF(Авто_Калькулятор!$E$12=E137,1.99%,IF(Авто_Калькулятор!$E$12=F137,1.99%,0%)))</f>
        <v>0</v>
      </c>
      <c r="M138" s="74" t="s">
        <v>89</v>
      </c>
    </row>
    <row r="139" spans="1:13" x14ac:dyDescent="0.25">
      <c r="A139" s="309"/>
      <c r="B139" s="47">
        <f>IF(AND(Авто_Калькулятор!$B$4=C139,Авто_Калькулятор!$E$12=$D$137),D139,
IF(AND(Авто_Калькулятор!$B$4=C139,Авто_Калькулятор!$E$12=$E$137),E139,
IF(AND(Авто_Калькулятор!$B$4=C139,Авто_Калькулятор!$E$12=$F$137),F139,
IF(AND(Авто_Калькулятор!$B$4=C139,Авто_Калькулятор!$E$12=$G$137),G139,
IF(AND(Авто_Калькулятор!$B$4=C139,Авто_Калькулятор!$E$12=$H$137),H139,
IF(AND(Авто_Калькулятор!$B$4=C139,Авто_Калькулятор!$E$12=$I$137),I139,
IF(AND(Авто_Калькулятор!$B$4=C139,Авто_Калькулятор!$E$12=$J$137),J139,0)))))))</f>
        <v>0</v>
      </c>
      <c r="C139" s="75" t="s">
        <v>197</v>
      </c>
      <c r="D139" s="98">
        <v>2.4899999999999998</v>
      </c>
      <c r="E139" s="98">
        <v>7.4899999999999993</v>
      </c>
      <c r="F139" s="98">
        <v>10.489999999999998</v>
      </c>
      <c r="G139" s="98">
        <v>10.489999999999998</v>
      </c>
      <c r="H139" s="98">
        <v>10.489999999999998</v>
      </c>
      <c r="I139" s="98">
        <v>10.489999999999998</v>
      </c>
      <c r="J139" s="98">
        <v>10.489999999999998</v>
      </c>
      <c r="K139" s="70">
        <f>IF(AND(Авто_Калькулятор!$B$4=C139, OR(Авто_Калькулятор!$E$12=$D$137,Авто_Калькулятор!$E$12=$E$137,Авто_Калькулятор!$E$12=$F$137,)),0.0199,
IF(AND(Авто_Калькулятор!$B$4=C139,OR(Авто_Калькулятор!$E$12=$G$137,Авто_Калькулятор!$E$12=$H$137,Авто_Калькулятор!$E$12=$I$137,Авто_Калькулятор!$E$12=$J$137)),0.0299,0))</f>
        <v>0</v>
      </c>
      <c r="L139" s="56"/>
      <c r="M139" s="58"/>
    </row>
    <row r="140" spans="1:13" x14ac:dyDescent="0.25">
      <c r="A140" s="309"/>
      <c r="B140" s="47">
        <f>IF(AND(Авто_Калькулятор!$B$4=C140,Авто_Калькулятор!$E$12=$D$137),D140,
IF(AND(Авто_Калькулятор!$B$4=C140,Авто_Калькулятор!$E$12=$E$137),E140,
IF(AND(Авто_Калькулятор!$B$4=C140,Авто_Калькулятор!$E$12=$F$137),F140,
IF(AND(Авто_Калькулятор!$B$4=C140,Авто_Калькулятор!$E$12=$G$137),G140,
IF(AND(Авто_Калькулятор!$B$4=C140,Авто_Калькулятор!$E$12=$H$137),H140,
IF(AND(Авто_Калькулятор!$B$4=C140,Авто_Калькулятор!$E$12=$I$137),I140,
IF(AND(Авто_Калькулятор!$B$4=C140,Авто_Калькулятор!$E$12=$J$137),J140,0)))))))</f>
        <v>0</v>
      </c>
      <c r="C140" s="75" t="s">
        <v>138</v>
      </c>
      <c r="D140" s="98">
        <v>1E-3</v>
      </c>
      <c r="E140" s="98">
        <v>6.49</v>
      </c>
      <c r="F140" s="98">
        <v>10.489999999999998</v>
      </c>
      <c r="G140" s="98">
        <v>10.489999999999998</v>
      </c>
      <c r="H140" s="98">
        <v>10.489999999999998</v>
      </c>
      <c r="I140" s="98">
        <v>10.489999999999998</v>
      </c>
      <c r="J140" s="98">
        <v>10.489999999999998</v>
      </c>
      <c r="K140" s="70">
        <f>IF(AND(Авто_Калькулятор!$B$4=C140, OR(Авто_Калькулятор!$E$12=$D$137,Авто_Калькулятор!$E$12=$E$137,Авто_Калькулятор!$E$12=$F$137,)),0.0199,
IF(AND(Авто_Калькулятор!$B$4=C140,OR(Авто_Калькулятор!$E$12=$G$137,Авто_Калькулятор!$E$12=$H$137,Авто_Калькулятор!$E$12=$I$137,Авто_Калькулятор!$E$12=$J$137)),0.0299,0))</f>
        <v>0</v>
      </c>
      <c r="L140" s="56"/>
      <c r="M140" s="58"/>
    </row>
    <row r="141" spans="1:13" x14ac:dyDescent="0.25">
      <c r="A141" s="309"/>
      <c r="B141" s="47">
        <f>IF(AND(Авто_Калькулятор!$B$4=C141,Авто_Калькулятор!$E$12=$D$137),D141,
IF(AND(Авто_Калькулятор!$B$4=C141,Авто_Калькулятор!$E$12=$E$137),E141,
IF(AND(Авто_Калькулятор!$B$4=C141,Авто_Калькулятор!$E$12=$F$137),F141,
IF(AND(Авто_Калькулятор!$B$4=C141,Авто_Калькулятор!$E$12=$G$137),G141,
IF(AND(Авто_Калькулятор!$B$4=C141,Авто_Калькулятор!$E$12=$H$137),H141,
IF(AND(Авто_Калькулятор!$B$4=C141,Авто_Калькулятор!$E$12=$I$137),I141,
IF(AND(Авто_Калькулятор!$B$4=C141,Авто_Калькулятор!$E$12=$J$137),J141,0)))))))</f>
        <v>0</v>
      </c>
      <c r="C141" s="76" t="s">
        <v>139</v>
      </c>
      <c r="D141" s="98">
        <v>1E-3</v>
      </c>
      <c r="E141" s="98">
        <v>5.4899999999999993</v>
      </c>
      <c r="F141" s="98">
        <v>9.49</v>
      </c>
      <c r="G141" s="98">
        <v>9.49</v>
      </c>
      <c r="H141" s="98">
        <v>9.49</v>
      </c>
      <c r="I141" s="98">
        <v>9.49</v>
      </c>
      <c r="J141" s="98">
        <v>9.49</v>
      </c>
      <c r="K141" s="70">
        <f>IF(AND(Авто_Калькулятор!$B$4=C141, OR(Авто_Калькулятор!$E$12=$D$137,Авто_Калькулятор!$E$12=$E$137,Авто_Калькулятор!$E$12=$F$137,)),0.0199,
IF(AND(Авто_Калькулятор!$B$4=C141,OR(Авто_Калькулятор!$E$12=$G$137,Авто_Калькулятор!$E$12=$H$137,Авто_Калькулятор!$E$12=$I$137,Авто_Калькулятор!$E$12=$J$137)),0.0299,0))</f>
        <v>0</v>
      </c>
      <c r="L141" s="56"/>
      <c r="M141" s="58"/>
    </row>
    <row r="142" spans="1:13" x14ac:dyDescent="0.25">
      <c r="A142" s="309"/>
      <c r="B142" s="47">
        <f>IF(AND(Авто_Калькулятор!$B$4=C142,Авто_Калькулятор!$E$12=$D$137),D142,
IF(AND(Авто_Калькулятор!$B$4=C142,Авто_Калькулятор!$E$12=$E$137),E142,
IF(AND(Авто_Калькулятор!$B$4=C142,Авто_Калькулятор!$E$12=$F$137),F142,
IF(AND(Авто_Калькулятор!$B$4=C142,Авто_Калькулятор!$E$12=$G$137),G142,
IF(AND(Авто_Калькулятор!$B$4=C142,Авто_Калькулятор!$E$12=$H$137),H142,
IF(AND(Авто_Калькулятор!$B$4=C142,Авто_Калькулятор!$E$12=$I$137),I142,
IF(AND(Авто_Калькулятор!$B$4=C142,Авто_Калькулятор!$E$12=$J$137),J142,0)))))))</f>
        <v>0</v>
      </c>
      <c r="C142" s="76" t="s">
        <v>140</v>
      </c>
      <c r="D142" s="98">
        <v>1E-3</v>
      </c>
      <c r="E142" s="98">
        <v>2.4899999999999998</v>
      </c>
      <c r="F142" s="98">
        <v>8.49</v>
      </c>
      <c r="G142" s="98">
        <v>8.49</v>
      </c>
      <c r="H142" s="98">
        <v>8.49</v>
      </c>
      <c r="I142" s="98">
        <v>8.49</v>
      </c>
      <c r="J142" s="98">
        <v>8.49</v>
      </c>
      <c r="K142" s="70">
        <f>IF(AND(Авто_Калькулятор!$B$4=C142, OR(Авто_Калькулятор!$E$12=$D$137,Авто_Калькулятор!$E$12=$E$137,Авто_Калькулятор!$E$12=$F$137,)),0.0199,
IF(AND(Авто_Калькулятор!$B$4=C142,OR(Авто_Калькулятор!$E$12=$G$137,Авто_Калькулятор!$E$12=$H$137,Авто_Калькулятор!$E$12=$I$137,Авто_Калькулятор!$E$12=$J$137)),0.0299,0))</f>
        <v>0</v>
      </c>
      <c r="L142" s="56"/>
      <c r="M142" s="58"/>
    </row>
    <row r="143" spans="1:13" ht="15.75" thickBot="1" x14ac:dyDescent="0.3">
      <c r="A143" s="309"/>
      <c r="B143" s="47">
        <f>IF(AND(Авто_Калькулятор!$B$4=C143,Авто_Калькулятор!$E$12=$D$137),D143,
IF(AND(Авто_Калькулятор!$B$4=C143,Авто_Калькулятор!$E$12=$E$137),E143,
IF(AND(Авто_Калькулятор!$B$4=C143,Авто_Калькулятор!$E$12=$F$137),F143,
IF(AND(Авто_Калькулятор!$B$4=C143,Авто_Калькулятор!$E$12=$G$137),G143,
IF(AND(Авто_Калькулятор!$B$4=C143,Авто_Калькулятор!$E$12=$H$137),H143,
IF(AND(Авто_Калькулятор!$B$4=C143,Авто_Калькулятор!$E$12=$I$137),I143,
IF(AND(Авто_Калькулятор!$B$4=C143,Авто_Калькулятор!$E$12=$J$137),J143,0)))))))</f>
        <v>0</v>
      </c>
      <c r="C143" s="76" t="s">
        <v>141</v>
      </c>
      <c r="D143" s="98">
        <v>1E-3</v>
      </c>
      <c r="E143" s="98">
        <v>1E-3</v>
      </c>
      <c r="F143" s="98">
        <v>7.4899999999999993</v>
      </c>
      <c r="G143" s="98">
        <v>7.4899999999999993</v>
      </c>
      <c r="H143" s="98">
        <v>7.4899999999999993</v>
      </c>
      <c r="I143" s="98">
        <v>7.4899999999999993</v>
      </c>
      <c r="J143" s="98">
        <v>7.4899999999999993</v>
      </c>
      <c r="K143" s="70">
        <f>IF(AND(Авто_Калькулятор!$B$4=C143, OR(Авто_Калькулятор!$E$12=$D$137,Авто_Калькулятор!$E$12=$E$137,Авто_Калькулятор!$E$12=$F$137,)),0.0199,
IF(AND(Авто_Калькулятор!$B$4=C143,OR(Авто_Калькулятор!$E$12=$G$137,Авто_Калькулятор!$E$12=$H$137,Авто_Калькулятор!$E$12=$I$137,Авто_Калькулятор!$E$12=$J$137)),0.0299,0))</f>
        <v>0</v>
      </c>
      <c r="L143" s="56"/>
      <c r="M143" s="58"/>
    </row>
    <row r="144" spans="1:13" ht="15.75" thickBot="1" x14ac:dyDescent="0.3">
      <c r="A144" s="310"/>
      <c r="B144" s="72">
        <f>SUM(B138:B143)</f>
        <v>0</v>
      </c>
      <c r="C144" s="60"/>
      <c r="D144" s="93"/>
      <c r="E144" s="93"/>
      <c r="F144" s="93"/>
      <c r="G144" s="93"/>
      <c r="H144" s="93"/>
      <c r="I144" s="93"/>
      <c r="J144" s="93"/>
      <c r="K144" s="72">
        <f>SUM(K138:K143)</f>
        <v>0</v>
      </c>
      <c r="L144" s="60"/>
      <c r="M144" s="61"/>
    </row>
    <row r="145" spans="1:13" ht="35.25" customHeight="1" x14ac:dyDescent="0.25">
      <c r="A145" s="302" t="s">
        <v>142</v>
      </c>
      <c r="B145" s="62" t="s">
        <v>26</v>
      </c>
      <c r="C145" s="63" t="s">
        <v>27</v>
      </c>
      <c r="D145" s="94">
        <v>12</v>
      </c>
      <c r="E145" s="94">
        <v>24</v>
      </c>
      <c r="F145" s="94">
        <v>36</v>
      </c>
      <c r="G145" s="94">
        <v>48</v>
      </c>
      <c r="H145" s="94">
        <v>60</v>
      </c>
      <c r="I145" s="94">
        <v>72</v>
      </c>
      <c r="J145" s="94">
        <v>84</v>
      </c>
      <c r="K145" s="46" t="s">
        <v>46</v>
      </c>
      <c r="L145" s="65" t="s">
        <v>28</v>
      </c>
      <c r="M145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152,IF(Авто_Калькулятор!$V$23&gt;=60,C151,IF(Авто_Калькулятор!$V$23&gt;=50,C150,IF(Авто_Калькулятор!$V$23&gt;=40,C149,IF(Авто_Калькулятор!$V$23&gt;=30,C148,IF(Авто_Калькулятор!$V$23&gt;=20,C147,IF(Авто_Калькулятор!$V$23&gt;=10,C146,))))))))&amp;IF(AND(Авто_Калькулятор!$V$23&lt;10,Авто_Калькулятор!$V$23&gt;0),"Сума авансового платежу недостатня",""))</f>
        <v/>
      </c>
    </row>
    <row r="146" spans="1:13" x14ac:dyDescent="0.25">
      <c r="A146" s="303"/>
      <c r="B146" s="47">
        <f>IF(AND(Авто_Калькулятор!$B$4=C146,Авто_Калькулятор!$E$12=D$145),D146,
IF(AND(Авто_Калькулятор!$B$4=C146,Авто_Калькулятор!$E$12=E$145),E146,
IF(AND(Авто_Калькулятор!$B$4=C146,Авто_Калькулятор!$E$12=F$145),F146,
IF(AND(Авто_Калькулятор!$B$4=C146,Авто_Калькулятор!$E$12=G$145),G146,
IF(AND(Авто_Калькулятор!$B$4=C146,Авто_Калькулятор!$E$12=H$145),H146,
IF(AND(Авто_Калькулятор!$B$4=C146,Авто_Калькулятор!$E$12=I$145),I146,
IF(AND(Авто_Калькулятор!$B$4=C146,Авто_Калькулятор!$E$12=J$145),J146,0)))))))</f>
        <v>0</v>
      </c>
      <c r="C146" s="11" t="s">
        <v>198</v>
      </c>
      <c r="D146" s="111">
        <v>8.49</v>
      </c>
      <c r="E146" s="111">
        <v>9.49</v>
      </c>
      <c r="F146" s="111">
        <v>9.49</v>
      </c>
      <c r="G146" s="111">
        <v>10.489999999999998</v>
      </c>
      <c r="H146" s="111">
        <v>10.489999999999998</v>
      </c>
      <c r="I146" s="111">
        <v>11.49</v>
      </c>
      <c r="J146" s="111">
        <v>11.49</v>
      </c>
      <c r="K146" s="105">
        <f>IF(AND(Авто_Калькулятор!$B$4=C146,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IF(AND(Авто_Калькулятор!$B$4=C146,OR(Авто_Калькулятор!$E$12=$F$145,)),0.0299,0))</f>
        <v>0</v>
      </c>
      <c r="L146" s="52">
        <v>0</v>
      </c>
      <c r="M146" s="74" t="s">
        <v>89</v>
      </c>
    </row>
    <row r="147" spans="1:13" x14ac:dyDescent="0.25">
      <c r="A147" s="303"/>
      <c r="B147" s="47">
        <f>IF(AND(Авто_Калькулятор!$B$4=C147,Авто_Калькулятор!$E$12=D$145),D147,
IF(AND(Авто_Калькулятор!$B$4=C147,Авто_Калькулятор!$E$12=E$145),E147,
IF(AND(Авто_Калькулятор!$B$4=C147,Авто_Калькулятор!$E$12=F$145),F147,
IF(AND(Авто_Калькулятор!$B$4=C147,Авто_Калькулятор!$E$12=G$145),G147,
IF(AND(Авто_Калькулятор!$B$4=C147,Авто_Калькулятор!$E$12=H$145),H147,
IF(AND(Авто_Калькулятор!$B$4=C147,Авто_Калькулятор!$E$12=I$145),I147,
IF(AND(Авто_Калькулятор!$B$4=C147,Авто_Калькулятор!$E$12=J$145),J147,0)))))))</f>
        <v>0</v>
      </c>
      <c r="C147" s="11" t="s">
        <v>199</v>
      </c>
      <c r="D147" s="111">
        <v>7.4899999999999993</v>
      </c>
      <c r="E147" s="111">
        <v>8.4899999999999984</v>
      </c>
      <c r="F147" s="111">
        <v>9.49</v>
      </c>
      <c r="G147" s="111">
        <v>9.49</v>
      </c>
      <c r="H147" s="111">
        <v>9.49</v>
      </c>
      <c r="I147" s="111">
        <v>10.489999999999998</v>
      </c>
      <c r="J147" s="111">
        <v>10.489999999999998</v>
      </c>
      <c r="K147" s="105">
        <f>IF(AND(Авто_Калькулятор!$B$4=C147,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IF(AND(Авто_Калькулятор!$B$4=C147,OR(Авто_Калькулятор!$E$12=$F$145,)),0.0299,0))</f>
        <v>0</v>
      </c>
      <c r="L147" s="56"/>
      <c r="M147" s="58"/>
    </row>
    <row r="148" spans="1:13" x14ac:dyDescent="0.25">
      <c r="A148" s="303"/>
      <c r="B148" s="47">
        <f>IF(AND(Авто_Калькулятор!$B$4=C148,Авто_Калькулятор!$E$12=D$145),D148,
IF(AND(Авто_Калькулятор!$B$4=C148,Авто_Калькулятор!$E$12=E$145),E148,
IF(AND(Авто_Калькулятор!$B$4=C148,Авто_Калькулятор!$E$12=F$145),F148,
IF(AND(Авто_Калькулятор!$B$4=C148,Авто_Калькулятор!$E$12=G$145),G148,
IF(AND(Авто_Калькулятор!$B$4=C148,Авто_Калькулятор!$E$12=H$145),H148,
IF(AND(Авто_Калькулятор!$B$4=C148,Авто_Калькулятор!$E$12=I$145),I148,
IF(AND(Авто_Калькулятор!$B$4=C148,Авто_Калькулятор!$E$12=J$145),J148,0)))))))</f>
        <v>0</v>
      </c>
      <c r="C148" s="11" t="s">
        <v>200</v>
      </c>
      <c r="D148" s="111">
        <v>7.4899999999999993</v>
      </c>
      <c r="E148" s="111">
        <v>8.49</v>
      </c>
      <c r="F148" s="111">
        <v>8.49</v>
      </c>
      <c r="G148" s="111">
        <v>9.49</v>
      </c>
      <c r="H148" s="111">
        <v>9.49</v>
      </c>
      <c r="I148" s="111">
        <v>10.489999999999998</v>
      </c>
      <c r="J148" s="111">
        <v>10.489999999999998</v>
      </c>
      <c r="K148" s="105">
        <f>IF(AND(Авто_Калькулятор!$B$4=C148,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IF(AND(Авто_Калькулятор!$B$4=C148,OR(Авто_Калькулятор!$E$12=$F$145,)),0.0299,0))</f>
        <v>0</v>
      </c>
      <c r="L148" s="56"/>
      <c r="M148" s="58"/>
    </row>
    <row r="149" spans="1:13" x14ac:dyDescent="0.25">
      <c r="A149" s="303"/>
      <c r="B149" s="47">
        <f>IF(AND(Авто_Калькулятор!$B$4=C149,Авто_Калькулятор!$E$12=D$145),D149,
IF(AND(Авто_Калькулятор!$B$4=C149,Авто_Калькулятор!$E$12=E$145),E149,
IF(AND(Авто_Калькулятор!$B$4=C149,Авто_Калькулятор!$E$12=F$145),F149,
IF(AND(Авто_Калькулятор!$B$4=C149,Авто_Калькулятор!$E$12=G$145),G149,
IF(AND(Авто_Калькулятор!$B$4=C149,Авто_Калькулятор!$E$12=H$145),H149,
IF(AND(Авто_Калькулятор!$B$4=C149,Авто_Калькулятор!$E$12=I$145),I149,
IF(AND(Авто_Калькулятор!$B$4=C149,Авто_Калькулятор!$E$12=J$145),J149,0)))))))</f>
        <v>0</v>
      </c>
      <c r="C149" s="11" t="s">
        <v>201</v>
      </c>
      <c r="D149" s="111">
        <v>6.99</v>
      </c>
      <c r="E149" s="111">
        <v>7.4899999999999993</v>
      </c>
      <c r="F149" s="111">
        <v>8.49</v>
      </c>
      <c r="G149" s="111">
        <v>8.4899999999999984</v>
      </c>
      <c r="H149" s="111">
        <v>8.4899999999999984</v>
      </c>
      <c r="I149" s="111">
        <v>9.49</v>
      </c>
      <c r="J149" s="111">
        <v>9.49</v>
      </c>
      <c r="K149" s="105">
        <f>IF(AND(Авто_Калькулятор!$B$4=C149,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IF(AND(Авто_Калькулятор!$B$4=C149,OR(Авто_Калькулятор!$E$12=$F$145,)),0.0299,0))</f>
        <v>0</v>
      </c>
      <c r="L149" s="56"/>
      <c r="M149" s="58"/>
    </row>
    <row r="150" spans="1:13" x14ac:dyDescent="0.25">
      <c r="A150" s="303"/>
      <c r="B150" s="47">
        <f>IF(AND(Авто_Калькулятор!$B$4=C150,Авто_Калькулятор!$E$12=D$145),D150,
IF(AND(Авто_Калькулятор!$B$4=C150,Авто_Калькулятор!$E$12=E$145),E150,
IF(AND(Авто_Калькулятор!$B$4=C150,Авто_Калькулятор!$E$12=F$145),F150,
IF(AND(Авто_Калькулятор!$B$4=C150,Авто_Калькулятор!$E$12=G$145),G150,
IF(AND(Авто_Калькулятор!$B$4=C150,Авто_Калькулятор!$E$12=H$145),H150,
IF(AND(Авто_Калькулятор!$B$4=C150,Авто_Калькулятор!$E$12=I$145),I150,
IF(AND(Авто_Калькулятор!$B$4=C150,Авто_Калькулятор!$E$12=J$145),J150,0)))))))</f>
        <v>0</v>
      </c>
      <c r="C150" s="11" t="s">
        <v>202</v>
      </c>
      <c r="D150" s="111">
        <v>6.99</v>
      </c>
      <c r="E150" s="111">
        <v>7.4899999999999993</v>
      </c>
      <c r="F150" s="111">
        <v>7.4899999999999993</v>
      </c>
      <c r="G150" s="111">
        <v>7.4899999999999993</v>
      </c>
      <c r="H150" s="111">
        <v>7.4899999999999993</v>
      </c>
      <c r="I150" s="111">
        <v>7.4899999999999993</v>
      </c>
      <c r="J150" s="111">
        <v>7.4899999999999993</v>
      </c>
      <c r="K150" s="105">
        <f>IF(AND(Авто_Калькулятор!$B$4=C150,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IF(AND(Авто_Калькулятор!$B$4=C150,OR(Авто_Калькулятор!$E$12=$F$145,)),0.0299,0))</f>
        <v>0</v>
      </c>
      <c r="L150" s="56"/>
      <c r="M150" s="58"/>
    </row>
    <row r="151" spans="1:13" x14ac:dyDescent="0.25">
      <c r="A151" s="303"/>
      <c r="B151" s="47">
        <f>IF(AND(Авто_Калькулятор!$B$4=C151,Авто_Калькулятор!$E$12=D$145),D151,
IF(AND(Авто_Калькулятор!$B$4=C151,Авто_Калькулятор!$E$12=E$145),E151,
IF(AND(Авто_Калькулятор!$B$4=C151,Авто_Калькулятор!$E$12=F$145),F151,
IF(AND(Авто_Калькулятор!$B$4=C151,Авто_Калькулятор!$E$12=G$145),G151,
IF(AND(Авто_Калькулятор!$B$4=C151,Авто_Калькулятор!$E$12=H$145),H151,
IF(AND(Авто_Калькулятор!$B$4=C151,Авто_Калькулятор!$E$12=I$145),I151,
IF(AND(Авто_Калькулятор!$B$4=C151,Авто_Калькулятор!$E$12=J$145),J151,0)))))))</f>
        <v>0</v>
      </c>
      <c r="C151" s="11" t="s">
        <v>203</v>
      </c>
      <c r="D151" s="111">
        <v>6.99</v>
      </c>
      <c r="E151" s="111">
        <v>6.49</v>
      </c>
      <c r="F151" s="111">
        <v>6.49</v>
      </c>
      <c r="G151" s="111">
        <v>6.49</v>
      </c>
      <c r="H151" s="111">
        <v>6.49</v>
      </c>
      <c r="I151" s="111">
        <v>6.49</v>
      </c>
      <c r="J151" s="111">
        <v>6.49</v>
      </c>
      <c r="K151" s="105">
        <f>IF(AND(Авто_Калькулятор!$B$4=C151,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IF(AND(Авто_Калькулятор!$B$4=C151,OR(Авто_Калькулятор!$E$12=$F$145,)),0.0299,0))</f>
        <v>0</v>
      </c>
      <c r="L151" s="56"/>
      <c r="M151" s="58"/>
    </row>
    <row r="152" spans="1:13" ht="15.75" thickBot="1" x14ac:dyDescent="0.3">
      <c r="A152" s="303"/>
      <c r="B152" s="47">
        <f>IF(AND(Авто_Калькулятор!$B$4=C152,Авто_Калькулятор!$E$12=D$145),D152,
IF(AND(Авто_Калькулятор!$B$4=C152,Авто_Калькулятор!$E$12=E$145),E152,
IF(AND(Авто_Калькулятор!$B$4=C152,Авто_Калькулятор!$E$12=F$145),F152,
IF(AND(Авто_Калькулятор!$B$4=C152,Авто_Калькулятор!$E$12=G$145),G152,
IF(AND(Авто_Калькулятор!$B$4=C152,Авто_Калькулятор!$E$12=H$145),H152,
IF(AND(Авто_Калькулятор!$B$4=C152,Авто_Калькулятор!$E$12=I$145),I152,
IF(AND(Авто_Калькулятор!$B$4=C152,Авто_Калькулятор!$E$12=J$145),J152,0)))))))</f>
        <v>0</v>
      </c>
      <c r="C152" s="11" t="s">
        <v>204</v>
      </c>
      <c r="D152" s="111">
        <v>6.99</v>
      </c>
      <c r="E152" s="111">
        <v>5.4899999999999993</v>
      </c>
      <c r="F152" s="111">
        <v>5.4899999999999993</v>
      </c>
      <c r="G152" s="111">
        <v>5.4899999999999993</v>
      </c>
      <c r="H152" s="111">
        <v>5.4899999999999993</v>
      </c>
      <c r="I152" s="111">
        <v>5.4899999999999993</v>
      </c>
      <c r="J152" s="111">
        <v>5.4899999999999993</v>
      </c>
      <c r="K152" s="105">
        <f>IF(AND(Авто_Калькулятор!$B$4=C152,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IF(AND(Авто_Калькулятор!$B$4=C152,OR(Авто_Калькулятор!$E$12=$F$145,)),0.0299,0))</f>
        <v>0</v>
      </c>
      <c r="L152" s="56"/>
      <c r="M152" s="58"/>
    </row>
    <row r="153" spans="1:13" ht="15.75" thickBot="1" x14ac:dyDescent="0.3">
      <c r="A153" s="304"/>
      <c r="B153" s="71">
        <f>SUM(B146:B152)</f>
        <v>0</v>
      </c>
      <c r="C153" s="60"/>
      <c r="D153" s="93"/>
      <c r="E153" s="93"/>
      <c r="F153" s="93"/>
      <c r="G153" s="93"/>
      <c r="H153" s="93"/>
      <c r="I153" s="93"/>
      <c r="J153" s="93"/>
      <c r="K153" s="72">
        <f>SUM(K146:K152)</f>
        <v>0</v>
      </c>
      <c r="L153" s="56"/>
      <c r="M153" s="61"/>
    </row>
    <row r="154" spans="1:13" ht="15.75" x14ac:dyDescent="0.25">
      <c r="A154" s="308" t="s">
        <v>144</v>
      </c>
      <c r="B154" s="62" t="s">
        <v>26</v>
      </c>
      <c r="C154" s="63" t="s">
        <v>27</v>
      </c>
      <c r="D154" s="94">
        <v>12</v>
      </c>
      <c r="E154" s="94">
        <v>24</v>
      </c>
      <c r="F154" s="94">
        <v>36</v>
      </c>
      <c r="G154" s="94">
        <v>48</v>
      </c>
      <c r="H154" s="94">
        <v>60</v>
      </c>
      <c r="I154" s="94">
        <v>72</v>
      </c>
      <c r="J154" s="94">
        <v>84</v>
      </c>
      <c r="K154" s="46" t="s">
        <v>46</v>
      </c>
      <c r="L154" s="65" t="s">
        <v>28</v>
      </c>
      <c r="M154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#REF!,IF(Авто_Калькулятор!$V$23&gt;=60,C158,IF(Авто_Калькулятор!$V$23&gt;=50,C157,IF(Авто_Калькулятор!$V$23&gt;=30,C156,IF(Авто_Калькулятор!$V$23&gt;=10,C155,)))))))&amp;IF(AND(Авто_Калькулятор!$V$23&lt;10,Авто_Калькулятор!$V$23&gt;0),"Сума авансового платежу недостатня","")</f>
        <v/>
      </c>
    </row>
    <row r="155" spans="1:13" x14ac:dyDescent="0.25">
      <c r="A155" s="309"/>
      <c r="B155" s="47">
        <f>IF(AND(Авто_Калькулятор!$B$4=C155,Авто_Калькулятор!$E$12=$D$154),D155,
IF(AND(Авто_Калькулятор!$B$4=C155,Авто_Калькулятор!$E$12=$E$154),E155,
IF(AND(Авто_Калькулятор!$B$4=C155,Авто_Калькулятор!$E$12=$F$154),F155,
IF(AND(Авто_Калькулятор!$B$4=C155,Авто_Калькулятор!$E$12=$G$154),G155,
IF(AND(Авто_Калькулятор!$B$4=C155,Авто_Калькулятор!$E$12=$H$154),H155,
IF(AND(Авто_Калькулятор!$B$4=C155,Авто_Калькулятор!$E$12=$I$154),I155,
IF(AND(Авто_Калькулятор!$B$4=C155,Авто_Калькулятор!$E$12=$J$154),J155,0)))))))</f>
        <v>0</v>
      </c>
      <c r="C155" s="11" t="s">
        <v>145</v>
      </c>
      <c r="D155" s="99">
        <v>4.49</v>
      </c>
      <c r="E155" s="99">
        <v>9.99</v>
      </c>
      <c r="F155" s="99">
        <v>11.99</v>
      </c>
      <c r="G155" s="99">
        <v>14.99</v>
      </c>
      <c r="H155" s="99">
        <v>14.99</v>
      </c>
      <c r="I155" s="99">
        <v>14.99</v>
      </c>
      <c r="J155" s="99">
        <v>14.99</v>
      </c>
      <c r="K155" s="70">
        <f>IF(AND(Авто_Калькулятор!$B$4=C155, OR(Авто_Калькулятор!$E$12=$D$154,Авто_Калькулятор!$E$12=$E$154,Авто_Калькулятор!$E$12=$F$154)),0.0299,
IF(AND(Авто_Калькулятор!$B$4=C155,OR(Авто_Калькулятор!$E$12=$G$154,Авто_Калькулятор!$E$12=$H$154,Авто_Калькулятор!$E$12=$I$154,Авто_Калькулятор!$E$12=$J$154)),0,0))</f>
        <v>0</v>
      </c>
      <c r="L155" s="52">
        <f>IF(Авто_Калькулятор!$E$12=D154,2.99%,IF(OR(Авто_Калькулятор!$E$12=E154,Авто_Калькулятор!$E$12=F154),2.99%,0%))</f>
        <v>0</v>
      </c>
      <c r="M155" s="74" t="s">
        <v>89</v>
      </c>
    </row>
    <row r="156" spans="1:13" x14ac:dyDescent="0.25">
      <c r="A156" s="309"/>
      <c r="B156" s="47">
        <f>IF(AND(Авто_Калькулятор!$B$4=C156,Авто_Калькулятор!$E$12=$D$154),D156,
IF(AND(Авто_Калькулятор!$B$4=C156,Авто_Калькулятор!$E$12=$E$154),E156,
IF(AND(Авто_Калькулятор!$B$4=C156,Авто_Калькулятор!$E$12=$F$154),F156,
IF(AND(Авто_Калькулятор!$B$4=C156,Авто_Калькулятор!$E$12=$G$154),G156,
IF(AND(Авто_Калькулятор!$B$4=C156,Авто_Калькулятор!$E$12=$H$154),H156,
IF(AND(Авто_Калькулятор!$B$4=C156,Авто_Калькулятор!$E$12=$I$154),I156,
IF(AND(Авто_Калькулятор!$B$4=C156,Авто_Калькулятор!$E$12=$J$154),J156,0)))))))</f>
        <v>0</v>
      </c>
      <c r="C156" s="11" t="s">
        <v>146</v>
      </c>
      <c r="D156" s="99">
        <v>1E-3</v>
      </c>
      <c r="E156" s="99">
        <v>7.4900000000000011</v>
      </c>
      <c r="F156" s="99">
        <v>10.99</v>
      </c>
      <c r="G156" s="99">
        <v>14.99</v>
      </c>
      <c r="H156" s="99">
        <v>14.99</v>
      </c>
      <c r="I156" s="99">
        <v>14.99</v>
      </c>
      <c r="J156" s="99">
        <v>14.99</v>
      </c>
      <c r="K156" s="70">
        <f>IF(AND(Авто_Калькулятор!$B$4=C156, OR(Авто_Калькулятор!$E$12=$D$154,Авто_Калькулятор!$E$12=$E$154,Авто_Калькулятор!$E$12=$F$154)),0.0299,
IF(AND(Авто_Калькулятор!$B$4=C156,OR(Авто_Калькулятор!$E$12=$G$154,Авто_Калькулятор!$E$12=$H$154,Авто_Калькулятор!$E$12=$I$154,Авто_Калькулятор!$E$12=$J$154)),0,0))</f>
        <v>0</v>
      </c>
      <c r="L156" s="56"/>
      <c r="M156" s="58"/>
    </row>
    <row r="157" spans="1:13" x14ac:dyDescent="0.25">
      <c r="A157" s="309"/>
      <c r="B157" s="47">
        <f>IF(AND(Авто_Калькулятор!$B$4=C157,Авто_Калькулятор!$E$12=$D$154),D157,
IF(AND(Авто_Калькулятор!$B$4=C157,Авто_Калькулятор!$E$12=$E$154),E157,
IF(AND(Авто_Калькулятор!$B$4=C157,Авто_Калькулятор!$E$12=$F$154),F157,
IF(AND(Авто_Калькулятор!$B$4=C157,Авто_Калькулятор!$E$12=$G$154),G157,
IF(AND(Авто_Калькулятор!$B$4=C157,Авто_Калькулятор!$E$12=$H$154),H157,
IF(AND(Авто_Калькулятор!$B$4=C157,Авто_Калькулятор!$E$12=$I$154),I157,
IF(AND(Авто_Калькулятор!$B$4=C157,Авто_Калькулятор!$E$12=$J$154),J157,0)))))))</f>
        <v>0</v>
      </c>
      <c r="C157" s="11" t="s">
        <v>147</v>
      </c>
      <c r="D157" s="99">
        <v>1E-3</v>
      </c>
      <c r="E157" s="99">
        <v>1E-3</v>
      </c>
      <c r="F157" s="99">
        <v>7.99</v>
      </c>
      <c r="G157" s="99">
        <v>13.99</v>
      </c>
      <c r="H157" s="99">
        <v>13.99</v>
      </c>
      <c r="I157" s="99">
        <v>13.99</v>
      </c>
      <c r="J157" s="99">
        <v>13.99</v>
      </c>
      <c r="K157" s="70">
        <f>IF(AND(Авто_Калькулятор!$B$4=C157, OR(Авто_Калькулятор!$E$12=$D$154,Авто_Калькулятор!$E$12=$E$154,Авто_Калькулятор!$E$12=$F$154)),0.0299,
IF(AND(Авто_Калькулятор!$B$4=C157,OR(Авто_Калькулятор!$E$12=$G$154,Авто_Калькулятор!$E$12=$H$154,Авто_Калькулятор!$E$12=$I$154,Авто_Калькулятор!$E$12=$J$154)),0,0))</f>
        <v>0</v>
      </c>
      <c r="L157" s="56"/>
      <c r="M157" s="58"/>
    </row>
    <row r="158" spans="1:13" ht="15.75" thickBot="1" x14ac:dyDescent="0.3">
      <c r="A158" s="309"/>
      <c r="B158" s="47">
        <f>IF(AND(Авто_Калькулятор!$B$4=C158,Авто_Калькулятор!$E$12=$D$154),D158,
IF(AND(Авто_Калькулятор!$B$4=C158,Авто_Калькулятор!$E$12=$E$154),E158,
IF(AND(Авто_Калькулятор!$B$4=C158,Авто_Калькулятор!$E$12=$F$154),F158,
IF(AND(Авто_Калькулятор!$B$4=C158,Авто_Калькулятор!$E$12=$G$154),G158,
IF(AND(Авто_Калькулятор!$B$4=C158,Авто_Калькулятор!$E$12=$H$154),H158,
IF(AND(Авто_Калькулятор!$B$4=C158,Авто_Калькулятор!$E$12=$I$154),I158,
IF(AND(Авто_Калькулятор!$B$4=C158,Авто_Калькулятор!$E$12=$J$154),J158,0)))))))</f>
        <v>0</v>
      </c>
      <c r="C158" s="11" t="s">
        <v>148</v>
      </c>
      <c r="D158" s="99">
        <v>1E-3</v>
      </c>
      <c r="E158" s="99">
        <v>1E-3</v>
      </c>
      <c r="F158" s="99">
        <v>4.99</v>
      </c>
      <c r="G158" s="99">
        <v>12.989999999999998</v>
      </c>
      <c r="H158" s="99">
        <v>12.989999999999998</v>
      </c>
      <c r="I158" s="99">
        <v>12.989999999999998</v>
      </c>
      <c r="J158" s="99">
        <v>12.989999999999998</v>
      </c>
      <c r="K158" s="70">
        <f>IF(AND(Авто_Калькулятор!$B$4=C158, OR(Авто_Калькулятор!$E$12=$D$154,Авто_Калькулятор!$E$12=$E$154,Авто_Калькулятор!$E$12=$F$154)),0.0299,
IF(AND(Авто_Калькулятор!$B$4=C158,OR(Авто_Калькулятор!$E$12=$G$154,Авто_Калькулятор!$E$12=$H$154,Авто_Калькулятор!$E$12=$I$154,Авто_Калькулятор!$E$12=$J$154)),0,0))</f>
        <v>0</v>
      </c>
      <c r="L158" s="56"/>
      <c r="M158" s="58"/>
    </row>
    <row r="159" spans="1:13" ht="15.75" thickBot="1" x14ac:dyDescent="0.3">
      <c r="A159" s="310"/>
      <c r="B159" s="72">
        <f>SUM(B155:B158)</f>
        <v>0</v>
      </c>
      <c r="C159" s="60"/>
      <c r="D159" s="93"/>
      <c r="E159" s="93"/>
      <c r="F159" s="93"/>
      <c r="G159" s="93"/>
      <c r="H159" s="93"/>
      <c r="I159" s="93"/>
      <c r="J159" s="93"/>
      <c r="K159" s="72">
        <f>SUM(K155:K158)</f>
        <v>0</v>
      </c>
      <c r="L159" s="60"/>
      <c r="M159" s="61"/>
    </row>
    <row r="160" spans="1:13" ht="15.75" x14ac:dyDescent="0.25">
      <c r="A160" s="311" t="s">
        <v>212</v>
      </c>
      <c r="B160" s="62" t="s">
        <v>26</v>
      </c>
      <c r="C160" s="63" t="s">
        <v>27</v>
      </c>
      <c r="D160" s="94">
        <v>12</v>
      </c>
      <c r="E160" s="94">
        <v>24</v>
      </c>
      <c r="F160" s="94">
        <v>36</v>
      </c>
      <c r="G160" s="94">
        <v>48</v>
      </c>
      <c r="H160" s="94">
        <v>60</v>
      </c>
      <c r="I160" s="94">
        <v>72</v>
      </c>
      <c r="J160" s="94">
        <v>84</v>
      </c>
      <c r="K160" s="46" t="s">
        <v>46</v>
      </c>
      <c r="L160" s="65" t="s">
        <v>28</v>
      </c>
      <c r="M160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166,IF(Авто_Калькулятор!$V$23&gt;=50,C165,IF(Авто_Калькулятор!$V$23&gt;=40,C164,IF(Авто_Калькулятор!$V$23&gt;=30,C163,IF(Авто_Калькулятор!$V$23&gt;=20,C162,IF(Авто_Калькулятор!$V$23&gt;=10,C161,))))))))&amp;IF(AND(Авто_Калькулятор!$V$23&lt;10,Авто_Калькулятор!$V$23&gt;0),"Сума авансового платежу недостатня","")</f>
        <v/>
      </c>
    </row>
    <row r="161" spans="1:13" x14ac:dyDescent="0.25">
      <c r="A161" s="312"/>
      <c r="B161" s="47">
        <f>IF(AND(Авто_Калькулятор!$B$4=C161,Авто_Калькулятор!$E$12=$D$154),D161,
IF(AND(Авто_Калькулятор!$B$4=C161,Авто_Калькулятор!$E$12=$E$154),E161,
IF(AND(Авто_Калькулятор!$B$4=C161,Авто_Калькулятор!$E$12=$F$154),F161,
IF(AND(Авто_Калькулятор!$B$4=C161,Авто_Калькулятор!$E$12=$G$154),G161,
IF(AND(Авто_Калькулятор!$B$4=C161,Авто_Калькулятор!$E$12=$H$154),H161,
IF(AND(Авто_Калькулятор!$B$4=C161,Авто_Калькулятор!$E$12=$I$154),I161,
IF(AND(Авто_Калькулятор!$B$4=C161,Авто_Калькулятор!$E$12=$J$154),J161,0)))))))</f>
        <v>0</v>
      </c>
      <c r="C161" s="112" t="s">
        <v>213</v>
      </c>
      <c r="D161" s="115">
        <v>2.79</v>
      </c>
      <c r="E161" s="115">
        <v>5.4899999999999993</v>
      </c>
      <c r="F161" s="115">
        <v>5.89</v>
      </c>
      <c r="G161" s="115">
        <v>6.8900000000000006</v>
      </c>
      <c r="H161" s="115">
        <v>6.8900000000000006</v>
      </c>
      <c r="I161" s="115">
        <v>6.8900000000000006</v>
      </c>
      <c r="J161" s="115">
        <v>6.8900000000000006</v>
      </c>
      <c r="K161" s="114">
        <f>IF(AND(Авто_Калькулятор!$B$4=C161,OR(Авто_Калькулятор!$E$12=$D$160)),0.0099,0)</f>
        <v>0</v>
      </c>
      <c r="L161" s="100">
        <f>IF(Авто_Калькулятор!$E$12=D160,0%,IF(OR(Авто_Калькулятор!$E$12=E160),0%,0%))</f>
        <v>0</v>
      </c>
      <c r="M161" s="74" t="s">
        <v>89</v>
      </c>
    </row>
    <row r="162" spans="1:13" x14ac:dyDescent="0.25">
      <c r="A162" s="312"/>
      <c r="B162" s="47">
        <f>IF(AND(Авто_Калькулятор!$B$4=C162,Авто_Калькулятор!$E$12=$D$154),D162,
IF(AND(Авто_Калькулятор!$B$4=C162,Авто_Калькулятор!$E$12=$E$154),E162,
IF(AND(Авто_Калькулятор!$B$4=C162,Авто_Калькулятор!$E$12=$F$154),F162,
IF(AND(Авто_Калькулятор!$B$4=C162,Авто_Калькулятор!$E$12=$G$154),G162,
IF(AND(Авто_Калькулятор!$B$4=C162,Авто_Калькулятор!$E$12=$H$154),H162,
IF(AND(Авто_Калькулятор!$B$4=C162,Авто_Калькулятор!$E$12=$I$154),I162,
IF(AND(Авто_Калькулятор!$B$4=C162,Авто_Калькулятор!$E$12=$J$154),J162,0)))))))</f>
        <v>0</v>
      </c>
      <c r="C162" s="112" t="s">
        <v>214</v>
      </c>
      <c r="D162" s="115">
        <v>0.59</v>
      </c>
      <c r="E162" s="115">
        <v>2.79</v>
      </c>
      <c r="F162" s="115">
        <v>3.8899999999999997</v>
      </c>
      <c r="G162" s="115">
        <v>5.6899999999999995</v>
      </c>
      <c r="H162" s="115">
        <v>5.89</v>
      </c>
      <c r="I162" s="115">
        <v>5.89</v>
      </c>
      <c r="J162" s="115">
        <v>5.89</v>
      </c>
      <c r="K162" s="114">
        <f>IF(AND(Авто_Калькулятор!$B$4=C162,OR(Авто_Калькулятор!$E$12=$D$160)),0.0099,
IF(AND(Авто_Калькулятор!$B$4=C162,OR(,Авто_Калькулятор!$E$12=$E$160)),0.0149,0))</f>
        <v>0</v>
      </c>
      <c r="L162" s="95"/>
      <c r="M162" s="58"/>
    </row>
    <row r="163" spans="1:13" x14ac:dyDescent="0.25">
      <c r="A163" s="312"/>
      <c r="B163" s="47">
        <f>IF(AND(Авто_Калькулятор!$B$4=C163,Авто_Калькулятор!$E$12=$D$154),D163,
IF(AND(Авто_Калькулятор!$B$4=C163,Авто_Калькулятор!$E$12=$E$154),E163,
IF(AND(Авто_Калькулятор!$B$4=C163,Авто_Калькулятор!$E$12=$F$154),F163,
IF(AND(Авто_Калькулятор!$B$4=C163,Авто_Калькулятор!$E$12=$G$154),G163,
IF(AND(Авто_Калькулятор!$B$4=C163,Авто_Калькулятор!$E$12=$H$154),H163,
IF(AND(Авто_Калькулятор!$B$4=C163,Авто_Калькулятор!$E$12=$I$154),I163,
IF(AND(Авто_Калькулятор!$B$4=C163,Авто_Калькулятор!$E$12=$J$154),J163,0)))))))</f>
        <v>0</v>
      </c>
      <c r="C163" s="112" t="s">
        <v>215</v>
      </c>
      <c r="D163" s="115">
        <v>0.01</v>
      </c>
      <c r="E163" s="115">
        <v>1.8900000000000001</v>
      </c>
      <c r="F163" s="115">
        <v>2.9899999999999998</v>
      </c>
      <c r="G163" s="115">
        <v>3.9899999999999998</v>
      </c>
      <c r="H163" s="115">
        <v>4.99</v>
      </c>
      <c r="I163" s="115">
        <v>5.59</v>
      </c>
      <c r="J163" s="115">
        <v>5.89</v>
      </c>
      <c r="K163" s="114">
        <f>IF(AND(Авто_Калькулятор!$B$4=C163,OR(Авто_Калькулятор!$E$12=$D$160)),0.0099,
IF(AND(Авто_Калькулятор!$B$4=C163,OR(,Авто_Калькулятор!$E$12=$E$160)),0.0149,0))</f>
        <v>0</v>
      </c>
      <c r="L163" s="95"/>
      <c r="M163" s="58"/>
    </row>
    <row r="164" spans="1:13" x14ac:dyDescent="0.25">
      <c r="A164" s="312"/>
      <c r="B164" s="47">
        <f>IF(AND(Авто_Калькулятор!$B$4=C164,Авто_Калькулятор!$E$12=$D$154),D164,
IF(AND(Авто_Калькулятор!$B$4=C164,Авто_Калькулятор!$E$12=$E$154),E164,
IF(AND(Авто_Калькулятор!$B$4=C164,Авто_Калькулятор!$E$12=$F$154),F164,
IF(AND(Авто_Калькулятор!$B$4=C164,Авто_Калькулятор!$E$12=$G$154),G164,
IF(AND(Авто_Калькулятор!$B$4=C164,Авто_Калькулятор!$E$12=$H$154),H164,
IF(AND(Авто_Калькулятор!$B$4=C164,Авто_Калькулятор!$E$12=$I$154),I164,
IF(AND(Авто_Калькулятор!$B$4=C164,Авто_Калькулятор!$E$12=$J$154),J164,0)))))))</f>
        <v>0</v>
      </c>
      <c r="C164" s="112" t="s">
        <v>216</v>
      </c>
      <c r="D164" s="115">
        <v>0.01</v>
      </c>
      <c r="E164" s="115">
        <v>0.01</v>
      </c>
      <c r="F164" s="115">
        <v>0.01</v>
      </c>
      <c r="G164" s="115">
        <v>2.9899999999999998</v>
      </c>
      <c r="H164" s="115">
        <v>2.9899999999999998</v>
      </c>
      <c r="I164" s="115">
        <v>3.9899999999999998</v>
      </c>
      <c r="J164" s="115">
        <v>4.8899999999999997</v>
      </c>
      <c r="K164" s="114">
        <f>IF(AND(Авто_Калькулятор!$B$4=C164,OR(Авто_Калькулятор!$E$12=$E$160)),0.0249,
IF(AND(Авто_Калькулятор!$B$4=C164,OR(,Авто_Калькулятор!$E$12=$F$160)),0.0249,0))</f>
        <v>0</v>
      </c>
      <c r="L164" s="95"/>
      <c r="M164" s="58"/>
    </row>
    <row r="165" spans="1:13" x14ac:dyDescent="0.25">
      <c r="A165" s="312"/>
      <c r="B165" s="47">
        <f>IF(AND(Авто_Калькулятор!$B$4=C165,Авто_Калькулятор!$E$12=$D$154),D165,
IF(AND(Авто_Калькулятор!$B$4=C165,Авто_Калькулятор!$E$12=$E$154),E165,
IF(AND(Авто_Калькулятор!$B$4=C165,Авто_Калькулятор!$E$12=$F$154),F165,
IF(AND(Авто_Калькулятор!$B$4=C165,Авто_Калькулятор!$E$12=$G$154),G165,
IF(AND(Авто_Калькулятор!$B$4=C165,Авто_Калькулятор!$E$12=$H$154),H165,
IF(AND(Авто_Калькулятор!$B$4=C165,Авто_Калькулятор!$E$12=$I$154),I165,
IF(AND(Авто_Калькулятор!$B$4=C165,Авто_Калькулятор!$E$12=$J$154),J165,0)))))))</f>
        <v>0</v>
      </c>
      <c r="C165" s="112" t="s">
        <v>217</v>
      </c>
      <c r="D165" s="115">
        <v>0.01</v>
      </c>
      <c r="E165" s="115">
        <v>0.01</v>
      </c>
      <c r="F165" s="115">
        <v>0.01</v>
      </c>
      <c r="G165" s="115">
        <v>0.01</v>
      </c>
      <c r="H165" s="115">
        <v>0.01</v>
      </c>
      <c r="I165" s="115">
        <v>0.9900000000000001</v>
      </c>
      <c r="J165" s="115">
        <v>3.49</v>
      </c>
      <c r="K165" s="114">
        <f>IF(AND(Авто_Калькулятор!$B$4=C165,OR(Авто_Калькулятор!$E$12=$F$160)),0.0099,
IF(AND(Авто_Калькулятор!$B$4=C165,OR(,Авто_Калькулятор!$E$12=$G$160)),0.0099,IF(AND(Авто_Калькулятор!$B$4=C165,OR(,Авто_Калькулятор!$E$12=$H$160)),0.0099,0)))</f>
        <v>0</v>
      </c>
      <c r="L165" s="95"/>
      <c r="M165" s="58"/>
    </row>
    <row r="166" spans="1:13" ht="15.75" thickBot="1" x14ac:dyDescent="0.3">
      <c r="A166" s="312"/>
      <c r="B166" s="47">
        <f>IF(AND(Авто_Калькулятор!$B$4=C166,Авто_Калькулятор!$E$12=$D$154),D166,
IF(AND(Авто_Калькулятор!$B$4=C166,Авто_Калькулятор!$E$12=$E$154),E166,
IF(AND(Авто_Калькулятор!$B$4=C166,Авто_Калькулятор!$E$12=$F$154),F166,
IF(AND(Авто_Калькулятор!$B$4=C166,Авто_Калькулятор!$E$12=$G$154),G166,
IF(AND(Авто_Калькулятор!$B$4=C166,Авто_Калькулятор!$E$12=$H$154),H166,
IF(AND(Авто_Калькулятор!$B$4=C166,Авто_Калькулятор!$E$12=$I$154),I166,
IF(AND(Авто_Калькулятор!$B$4=C166,Авто_Калькулятор!$E$12=$J$154),J166,0)))))))</f>
        <v>0</v>
      </c>
      <c r="C166" s="112" t="s">
        <v>218</v>
      </c>
      <c r="D166" s="115">
        <v>0.01</v>
      </c>
      <c r="E166" s="115">
        <v>0.01</v>
      </c>
      <c r="F166" s="115">
        <v>0.01</v>
      </c>
      <c r="G166" s="115">
        <v>0.01</v>
      </c>
      <c r="H166" s="115">
        <v>0.01</v>
      </c>
      <c r="I166" s="115">
        <v>0.01</v>
      </c>
      <c r="J166" s="115">
        <v>0.01</v>
      </c>
      <c r="K166" s="114">
        <v>0</v>
      </c>
      <c r="L166" s="95"/>
      <c r="M166" s="58"/>
    </row>
    <row r="167" spans="1:13" ht="15.75" thickBot="1" x14ac:dyDescent="0.3">
      <c r="A167" s="313"/>
      <c r="B167" s="72">
        <f>SUM(B161:B166)</f>
        <v>0</v>
      </c>
      <c r="C167" s="60"/>
      <c r="D167" s="93"/>
      <c r="E167" s="93"/>
      <c r="F167" s="93"/>
      <c r="G167" s="93"/>
      <c r="H167" s="93"/>
      <c r="I167" s="93"/>
      <c r="J167" s="93"/>
      <c r="K167" s="72">
        <f>SUM(K161:K166)</f>
        <v>0</v>
      </c>
      <c r="L167" s="60"/>
      <c r="M167" s="61"/>
    </row>
    <row r="168" spans="1:13" ht="15.75" x14ac:dyDescent="0.25">
      <c r="A168" s="308" t="s">
        <v>149</v>
      </c>
      <c r="B168" s="62" t="s">
        <v>26</v>
      </c>
      <c r="C168" s="63" t="s">
        <v>27</v>
      </c>
      <c r="D168" s="94">
        <v>12</v>
      </c>
      <c r="E168" s="94">
        <v>24</v>
      </c>
      <c r="F168" s="94">
        <v>36</v>
      </c>
      <c r="G168" s="94">
        <v>48</v>
      </c>
      <c r="H168" s="94">
        <v>60</v>
      </c>
      <c r="I168" s="94">
        <v>72</v>
      </c>
      <c r="J168" s="94">
        <v>84</v>
      </c>
      <c r="K168" s="46" t="s">
        <v>46</v>
      </c>
      <c r="L168" s="65" t="s">
        <v>28</v>
      </c>
      <c r="M168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127&gt;=70,Аркуш1!C175,IF(Авто_Калькулятор!$V$23&gt;=60,C174,IF(Авто_Калькулятор!$V$23&gt;=50,C173,IF(Авто_Калькулятор!$V$23&gt;=40,C172,IF(Авто_Калькулятор!$V$23&gt;=30,C171,IF(Авто_Калькулятор!$V$23&gt;=20,C170,IF(Авто_Калькулятор!$V$23&gt;=10,C169,))))))))&amp;IF(AND(Авто_Калькулятор!$V$23&lt;10,Авто_Калькулятор!$V$23&gt;0),"Сума авансового платежу недостатня",""))</f>
        <v/>
      </c>
    </row>
    <row r="169" spans="1:13" x14ac:dyDescent="0.25">
      <c r="A169" s="309"/>
      <c r="B169" s="47">
        <f>IF(AND(Авто_Калькулятор!$B$4=C169,Авто_Калькулятор!$E$12=$D$96),D169,
IF(AND(Авто_Калькулятор!$B$4=C169,Авто_Калькулятор!$E$12=$E$96),E169,
IF(AND(Авто_Калькулятор!$B$4=C169,Авто_Калькулятор!$E$12=$F$96),F169,
IF(AND(Авто_Калькулятор!$B$4=C169,Авто_Калькулятор!$E$12=$G$96),G169,
IF(AND(Авто_Калькулятор!$B$4=C169,Авто_Калькулятор!$E$12=$H$96),H169,
IF(AND(Авто_Калькулятор!$B$4=C169,Авто_Калькулятор!$E$12=$I$96),I169,
IF(AND(Авто_Калькулятор!$B$4=C169,Авто_Калькулятор!$E$12=$J$96),J169,0)))))))</f>
        <v>0</v>
      </c>
      <c r="C169" s="75" t="s">
        <v>150</v>
      </c>
      <c r="D169" s="96">
        <v>1.9900000000000002</v>
      </c>
      <c r="E169" s="96">
        <v>4.99</v>
      </c>
      <c r="F169" s="96">
        <v>6.99</v>
      </c>
      <c r="G169" s="96">
        <v>8.99</v>
      </c>
      <c r="H169" s="96">
        <v>9.49</v>
      </c>
      <c r="I169" s="96">
        <v>9.99</v>
      </c>
      <c r="J169" s="96">
        <v>9.99</v>
      </c>
      <c r="K169" s="70">
        <f>IF(AND(Авто_Калькулятор!$B$4=C169, OR(Авто_Калькулятор!$E$12=$D$168)),0.0099,
IF(AND(Авто_Калькулятор!$B$4=C169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69" s="52">
        <f>IF(Авто_Калькулятор!$E$12=D168,0%,IF(OR(Авто_Калькулятор!$E$12=E168,Авто_Калькулятор!$E$12=F168),0%,0%))</f>
        <v>0</v>
      </c>
      <c r="M169" s="74" t="s">
        <v>89</v>
      </c>
    </row>
    <row r="170" spans="1:13" x14ac:dyDescent="0.25">
      <c r="A170" s="309"/>
      <c r="B170" s="47">
        <f>IF(AND(Авто_Калькулятор!$B$4=C170,Авто_Калькулятор!$E$12=$D$96),D170,
IF(AND(Авто_Калькулятор!$B$4=C170,Авто_Калькулятор!$E$12=$E$96),E170,
IF(AND(Авто_Калькулятор!$B$4=C170,Авто_Калькулятор!$E$12=$F$96),F170,
IF(AND(Авто_Калькулятор!$B$4=C170,Авто_Калькулятор!$E$12=$G$96),G170,
IF(AND(Авто_Калькулятор!$B$4=C170,Авто_Калькулятор!$E$12=$H$96),H170,
IF(AND(Авто_Калькулятор!$B$4=C170,Авто_Калькулятор!$E$12=$I$96),I170,
IF(AND(Авто_Калькулятор!$B$4=C170,Авто_Калькулятор!$E$12=$J$96),J170,0)))))))</f>
        <v>0</v>
      </c>
      <c r="C170" s="75" t="s">
        <v>151</v>
      </c>
      <c r="D170" s="96">
        <v>0.9900000000000001</v>
      </c>
      <c r="E170" s="96">
        <v>3.9899999999999998</v>
      </c>
      <c r="F170" s="96">
        <v>5.99</v>
      </c>
      <c r="G170" s="96">
        <v>7.99</v>
      </c>
      <c r="H170" s="96">
        <v>8.49</v>
      </c>
      <c r="I170" s="96">
        <v>8.99</v>
      </c>
      <c r="J170" s="96">
        <v>8.99</v>
      </c>
      <c r="K170" s="70">
        <f>IF(AND(Авто_Калькулятор!$B$4=C170, OR(Авто_Калькулятор!$E$12=$D$168)),0.0099,
IF(AND(Авто_Калькулятор!$B$4=C170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0" s="56"/>
      <c r="M170" s="58"/>
    </row>
    <row r="171" spans="1:13" x14ac:dyDescent="0.25">
      <c r="A171" s="309"/>
      <c r="B171" s="47">
        <f>IF(AND(Авто_Калькулятор!$B$4=C171,Авто_Калькулятор!$E$12=$D$96),D171,
IF(AND(Авто_Калькулятор!$B$4=C171,Авто_Калькулятор!$E$12=$E$96),E171,
IF(AND(Авто_Калькулятор!$B$4=C171,Авто_Калькулятор!$E$12=$F$96),F171,
IF(AND(Авто_Калькулятор!$B$4=C171,Авто_Калькулятор!$E$12=$G$96),G171,
IF(AND(Авто_Калькулятор!$B$4=C171,Авто_Калькулятор!$E$12=$H$96),H171,
IF(AND(Авто_Калькулятор!$B$4=C171,Авто_Калькулятор!$E$12=$I$96),I171,
IF(AND(Авто_Калькулятор!$B$4=C171,Авто_Калькулятор!$E$12=$J$96),J171,0)))))))</f>
        <v>0</v>
      </c>
      <c r="C171" s="75" t="s">
        <v>152</v>
      </c>
      <c r="D171" s="96">
        <v>1E-3</v>
      </c>
      <c r="E171" s="96">
        <v>1.9900000000000002</v>
      </c>
      <c r="F171" s="96">
        <v>4.49</v>
      </c>
      <c r="G171" s="96">
        <v>6.99</v>
      </c>
      <c r="H171" s="96">
        <v>7.4899999999999993</v>
      </c>
      <c r="I171" s="96">
        <v>8.99</v>
      </c>
      <c r="J171" s="96">
        <v>8.99</v>
      </c>
      <c r="K171" s="70">
        <f>IF(AND(Авто_Калькулятор!$B$4=C171, OR(Авто_Калькулятор!$E$12=$D$168)),0.0099,
IF(AND(Авто_Калькулятор!$B$4=C171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1" s="56"/>
      <c r="M171" s="58"/>
    </row>
    <row r="172" spans="1:13" x14ac:dyDescent="0.25">
      <c r="A172" s="309"/>
      <c r="B172" s="47">
        <f>IF(AND(Авто_Калькулятор!$B$4=C172,Авто_Калькулятор!$E$12=$D$96),D172,
IF(AND(Авто_Калькулятор!$B$4=C172,Авто_Калькулятор!$E$12=$E$96),E172,
IF(AND(Авто_Калькулятор!$B$4=C172,Авто_Калькулятор!$E$12=$F$96),F172,
IF(AND(Авто_Калькулятор!$B$4=C172,Авто_Калькулятор!$E$12=$G$96),G172,
IF(AND(Авто_Калькулятор!$B$4=C172,Авто_Калькулятор!$E$12=$H$96),H172,
IF(AND(Авто_Калькулятор!$B$4=C172,Авто_Калькулятор!$E$12=$I$96),I172,
IF(AND(Авто_Калькулятор!$B$4=C172,Авто_Калькулятор!$E$12=$J$96),J172,0)))))))</f>
        <v>0</v>
      </c>
      <c r="C172" s="76" t="s">
        <v>153</v>
      </c>
      <c r="D172" s="96">
        <v>1E-3</v>
      </c>
      <c r="E172" s="96">
        <v>1.9900000000000002</v>
      </c>
      <c r="F172" s="96">
        <v>2.9899999999999998</v>
      </c>
      <c r="G172" s="96">
        <v>5.99</v>
      </c>
      <c r="H172" s="96">
        <v>6.49</v>
      </c>
      <c r="I172" s="96">
        <v>7.99</v>
      </c>
      <c r="J172" s="96">
        <v>7.99</v>
      </c>
      <c r="K172" s="70">
        <f>IF(AND(Авто_Калькулятор!$B$4=C172, OR(Авто_Калькулятор!$E$12=$D$168)),0.0099,
IF(AND(Авто_Калькулятор!$B$4=C172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2" s="56"/>
      <c r="M172" s="58"/>
    </row>
    <row r="173" spans="1:13" x14ac:dyDescent="0.25">
      <c r="A173" s="309"/>
      <c r="B173" s="47">
        <f>IF(AND(Авто_Калькулятор!$B$4=C173,Авто_Калькулятор!$E$12=$D$96),D173,
IF(AND(Авто_Калькулятор!$B$4=C173,Авто_Калькулятор!$E$12=$E$96),E173,
IF(AND(Авто_Калькулятор!$B$4=C173,Авто_Калькулятор!$E$12=$F$96),F173,
IF(AND(Авто_Калькулятор!$B$4=C173,Авто_Калькулятор!$E$12=$G$96),G173,
IF(AND(Авто_Калькулятор!$B$4=C173,Авто_Калькулятор!$E$12=$H$96),H173,
IF(AND(Авто_Калькулятор!$B$4=C173,Авто_Калькулятор!$E$12=$I$96),I173,
IF(AND(Авто_Калькулятор!$B$4=C173,Авто_Калькулятор!$E$12=$J$96),J173,0)))))))</f>
        <v>0</v>
      </c>
      <c r="C173" s="75" t="s">
        <v>154</v>
      </c>
      <c r="D173" s="96">
        <v>1E-3</v>
      </c>
      <c r="E173" s="96">
        <v>1E-3</v>
      </c>
      <c r="F173" s="96">
        <v>2.4899999999999998</v>
      </c>
      <c r="G173" s="96">
        <v>3.9899999999999998</v>
      </c>
      <c r="H173" s="96">
        <v>5.4899999999999993</v>
      </c>
      <c r="I173" s="96">
        <v>6.99</v>
      </c>
      <c r="J173" s="96">
        <v>6.99</v>
      </c>
      <c r="K173" s="70">
        <f>IF(AND(Авто_Калькулятор!$B$4=C173, OR(Авто_Калькулятор!$E$12=$D$168)),0.0099,
IF(AND(Авто_Калькулятор!$B$4=C173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3" s="56"/>
      <c r="M173" s="58"/>
    </row>
    <row r="174" spans="1:13" x14ac:dyDescent="0.25">
      <c r="A174" s="309"/>
      <c r="B174" s="47">
        <f>IF(AND(Авто_Калькулятор!$B$4=C174,Авто_Калькулятор!$E$12=$D$96),D174,
IF(AND(Авто_Калькулятор!$B$4=C174,Авто_Калькулятор!$E$12=$E$96),E174,
IF(AND(Авто_Калькулятор!$B$4=C174,Авто_Калькулятор!$E$12=$F$96),F174,
IF(AND(Авто_Калькулятор!$B$4=C174,Авто_Калькулятор!$E$12=$G$96),G174,
IF(AND(Авто_Калькулятор!$B$4=C174,Авто_Калькулятор!$E$12=$H$96),H174,
IF(AND(Авто_Калькулятор!$B$4=C174,Авто_Калькулятор!$E$12=$I$96),I174,
IF(AND(Авто_Калькулятор!$B$4=C174,Авто_Калькулятор!$E$12=$J$96),J174,0)))))))</f>
        <v>0</v>
      </c>
      <c r="C174" s="76" t="s">
        <v>155</v>
      </c>
      <c r="D174" s="96">
        <v>1E-3</v>
      </c>
      <c r="E174" s="96">
        <v>1E-3</v>
      </c>
      <c r="F174" s="96">
        <v>1E-3</v>
      </c>
      <c r="G174" s="96">
        <v>1.9900000000000002</v>
      </c>
      <c r="H174" s="96">
        <v>4.49</v>
      </c>
      <c r="I174" s="96">
        <v>5.99</v>
      </c>
      <c r="J174" s="96">
        <v>5.99</v>
      </c>
      <c r="K174" s="70">
        <f>IF(AND(Авто_Калькулятор!$B$4=C174, OR(Авто_Калькулятор!$E$12=$D$168)),0.0099,
IF(AND(Авто_Калькулятор!$B$4=C174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4" s="56"/>
      <c r="M174" s="58"/>
    </row>
    <row r="175" spans="1:13" ht="15.75" thickBot="1" x14ac:dyDescent="0.3">
      <c r="A175" s="309"/>
      <c r="B175" s="47">
        <f>IF(AND(Авто_Калькулятор!$B$4=C175,Авто_Калькулятор!$E$12=$D$96),D175,
IF(AND(Авто_Калькулятор!$B$4=C175,Авто_Калькулятор!$E$12=$E$96),E175,
IF(AND(Авто_Калькулятор!$B$4=C175,Авто_Калькулятор!$E$12=$F$96),F175,
IF(AND(Авто_Калькулятор!$B$4=C175,Авто_Калькулятор!$E$12=$G$96),G175,
IF(AND(Авто_Калькулятор!$B$4=C175,Авто_Калькулятор!$E$12=$H$96),H175,
IF(AND(Авто_Калькулятор!$B$4=C175,Авто_Калькулятор!$E$12=$I$96),I175,
IF(AND(Авто_Калькулятор!$B$4=C175,Авто_Калькулятор!$E$12=$J$96),J175,0)))))))</f>
        <v>0</v>
      </c>
      <c r="C175" s="75" t="s">
        <v>156</v>
      </c>
      <c r="D175" s="96">
        <v>1E-3</v>
      </c>
      <c r="E175" s="96">
        <v>1E-3</v>
      </c>
      <c r="F175" s="96">
        <v>1E-3</v>
      </c>
      <c r="G175" s="96">
        <v>1E-3</v>
      </c>
      <c r="H175" s="96">
        <v>1.49</v>
      </c>
      <c r="I175" s="96">
        <v>1.9900000000000002</v>
      </c>
      <c r="J175" s="96">
        <v>1.9900000000000002</v>
      </c>
      <c r="K175" s="70">
        <f>IF(AND(Авто_Калькулятор!$B$4=C175, OR(Авто_Калькулятор!$E$12=$D$168)),0.0099,
IF(AND(Авто_Калькулятор!$B$4=C175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5" s="56"/>
      <c r="M175" s="58"/>
    </row>
    <row r="176" spans="1:13" ht="15.75" thickBot="1" x14ac:dyDescent="0.3">
      <c r="A176" s="310"/>
      <c r="B176" s="72">
        <f>SUM(B169:B174)</f>
        <v>0</v>
      </c>
      <c r="C176" s="60"/>
      <c r="D176" s="60"/>
      <c r="E176" s="60"/>
      <c r="F176" s="60"/>
      <c r="G176" s="60"/>
      <c r="H176" s="60"/>
      <c r="I176" s="60"/>
      <c r="J176" s="60"/>
      <c r="K176" s="72">
        <f>SUM(K169:K174)</f>
        <v>0</v>
      </c>
      <c r="L176" s="60"/>
      <c r="M176" s="61"/>
    </row>
    <row r="177" spans="1:13" ht="15.75" x14ac:dyDescent="0.25">
      <c r="A177" s="305" t="s">
        <v>157</v>
      </c>
      <c r="B177" s="62" t="s">
        <v>26</v>
      </c>
      <c r="C177" s="63" t="s">
        <v>27</v>
      </c>
      <c r="D177" s="64">
        <v>12</v>
      </c>
      <c r="E177" s="64">
        <v>24</v>
      </c>
      <c r="F177" s="64">
        <v>36</v>
      </c>
      <c r="G177" s="64">
        <v>48</v>
      </c>
      <c r="H177" s="64">
        <v>60</v>
      </c>
      <c r="I177" s="64">
        <v>72</v>
      </c>
      <c r="J177" s="64">
        <v>84</v>
      </c>
      <c r="K177" s="46" t="s">
        <v>46</v>
      </c>
      <c r="L177" s="65" t="s">
        <v>28</v>
      </c>
      <c r="M177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авто",IF(Авто_Калькулятор!$V$23&gt;=10,C178,)))&amp;IF(AND(Авто_Калькулятор!$V$23&lt;10,Авто_Калькулятор!$V$23&gt;0),"Сума авансового платежу недостатня","")</f>
        <v/>
      </c>
    </row>
    <row r="178" spans="1:13" ht="15.75" thickBot="1" x14ac:dyDescent="0.3">
      <c r="A178" s="306"/>
      <c r="B178" s="47">
        <f>IF(AND(Авто_Калькулятор!$B$4=C178,Авто_Калькулятор!$E$12=D$145),D178,
IF(AND(Авто_Калькулятор!$B$4=C178,Авто_Калькулятор!$E$12=E$145),E178,
IF(AND(Авто_Калькулятор!$B$4=C178,Авто_Калькулятор!$E$12=F$145),F178,
IF(AND(Авто_Калькулятор!$B$4=C178,Авто_Калькулятор!$E$12=G$145),G178,
IF(AND(Авто_Калькулятор!$B$4=C178,Авто_Калькулятор!$E$12=H$145),H178,
IF(AND(Авто_Калькулятор!$B$4=C178,Авто_Калькулятор!$E$12=I$145),I178,
IF(AND(Авто_Калькулятор!$B$4=C178,Авто_Калькулятор!$E$12=J$145),J178,0)))))))</f>
        <v>0</v>
      </c>
      <c r="C178" s="11" t="s">
        <v>157</v>
      </c>
      <c r="D178" s="102"/>
      <c r="E178" s="102"/>
      <c r="F178" s="102"/>
      <c r="G178" s="102"/>
      <c r="H178" s="102"/>
      <c r="I178" s="102"/>
      <c r="J178" s="102"/>
      <c r="K178" s="70">
        <f>IF(AND(Авто_Калькулятор!$B$4=C178, OR(Авто_Калькулятор!$E$12=D177,Авто_Калькулятор!$E$12=E177,Авто_Калькулятор!$E$12=G177,Авто_Калькулятор!$E$12=H177,Авто_Калькулятор!$E$12=I177,Авто_Калькулятор!$E$12=J177)),0,
IF(AND(Авто_Калькулятор!$B$4=C178,OR(Авто_Калькулятор!$E$12=F177,)),0,0))</f>
        <v>0</v>
      </c>
      <c r="L178" s="52">
        <v>0</v>
      </c>
      <c r="M178" s="74" t="s">
        <v>89</v>
      </c>
    </row>
    <row r="179" spans="1:13" ht="15.75" thickBot="1" x14ac:dyDescent="0.3">
      <c r="A179" s="307"/>
      <c r="B179" s="71">
        <f>SUM(B178:B178)</f>
        <v>0</v>
      </c>
      <c r="C179" s="60"/>
      <c r="D179" s="60"/>
      <c r="E179" s="60"/>
      <c r="F179" s="60"/>
      <c r="G179" s="60"/>
      <c r="H179" s="60"/>
      <c r="I179" s="60"/>
      <c r="J179" s="60"/>
      <c r="K179" s="72">
        <f>SUM(K178:K178)</f>
        <v>0</v>
      </c>
      <c r="L179" s="60"/>
      <c r="M179" s="61"/>
    </row>
    <row r="180" spans="1:13" ht="15.75" x14ac:dyDescent="0.25">
      <c r="A180" s="302" t="s">
        <v>171</v>
      </c>
      <c r="B180" s="62" t="s">
        <v>26</v>
      </c>
      <c r="C180" s="63" t="s">
        <v>27</v>
      </c>
      <c r="D180" s="94">
        <v>12</v>
      </c>
      <c r="E180" s="94">
        <v>24</v>
      </c>
      <c r="F180" s="94">
        <v>36</v>
      </c>
      <c r="G180" s="94">
        <v>48</v>
      </c>
      <c r="H180" s="94">
        <v>60</v>
      </c>
      <c r="I180" s="94">
        <v>72</v>
      </c>
      <c r="J180" s="94">
        <v>84</v>
      </c>
      <c r="K180" s="46" t="s">
        <v>46</v>
      </c>
      <c r="L180" s="65" t="s">
        <v>28</v>
      </c>
      <c r="M180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139&gt;=70,Аркуш1!C187,IF(Авто_Калькулятор!$V$23&gt;=60,C186,IF(Авто_Калькулятор!$V$23&gt;=50,C185,IF(Авто_Калькулятор!$V$23&gt;=40,C184,IF(Авто_Калькулятор!$V$23&gt;=30,C183,IF(Авто_Калькулятор!$V$23&gt;=20,C182,IF(Авто_Калькулятор!$V$23&gt;=10,C181,))))))))&amp;IF(AND(Авто_Калькулятор!$V$23&lt;10,Авто_Калькулятор!$V$23&gt;0),"Сума авансового платежу недостатня",""))</f>
        <v/>
      </c>
    </row>
    <row r="181" spans="1:13" x14ac:dyDescent="0.25">
      <c r="A181" s="303"/>
      <c r="B181" s="47">
        <f>IF(AND(Авто_Калькулятор!$B$4=C181,Авто_Калькулятор!$E$12=$D$180),D181,
IF(AND(Авто_Калькулятор!$B$4=C181,Авто_Калькулятор!$E$12=$E$180),E181,
IF(AND(Авто_Калькулятор!$B$4=C181,Авто_Калькулятор!$E$12=$F$180),F181,
IF(AND(Авто_Калькулятор!$B$4=C181,Авто_Калькулятор!$E$12=$G$180),G181,
IF(AND(Авто_Калькулятор!$B$4=C181,Авто_Калькулятор!$E$12=$H$180),H181,
IF(AND(Авто_Калькулятор!$B$4=C181,Авто_Калькулятор!$E$12=$I$180),I181,
IF(AND(Авто_Калькулятор!$B$4=C181,Авто_Калькулятор!$E$12=$J$180),J181,0)))))))</f>
        <v>0</v>
      </c>
      <c r="C181" s="75" t="s">
        <v>172</v>
      </c>
      <c r="D181" s="109">
        <v>5.99</v>
      </c>
      <c r="E181" s="109">
        <v>8.99</v>
      </c>
      <c r="F181" s="109">
        <v>9.99</v>
      </c>
      <c r="G181" s="109">
        <v>10.99</v>
      </c>
      <c r="H181" s="109">
        <v>10.99</v>
      </c>
      <c r="I181" s="109">
        <v>10.99</v>
      </c>
      <c r="J181" s="109">
        <v>10.99</v>
      </c>
      <c r="K181" s="70">
        <f>IF(AND(Авто_Калькулятор!$B$4=C181, OR(Авто_Калькулятор!$E$12=$D$180,Авто_Калькулятор!$E$12=$E$180)),0.0299,
IF(AND(Авто_Калькулятор!$B$4=C181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1" s="52">
        <f>IF(Авто_Калькулятор!$E$12=D180,0%,IF(OR(Авто_Калькулятор!$E$12=E180,Авто_Калькулятор!$E$12=F180),0%,0%))</f>
        <v>0</v>
      </c>
      <c r="M181" s="74" t="s">
        <v>89</v>
      </c>
    </row>
    <row r="182" spans="1:13" x14ac:dyDescent="0.25">
      <c r="A182" s="303"/>
      <c r="B182" s="47">
        <f>IF(AND(Авто_Калькулятор!$B$4=C182,Авто_Калькулятор!$E$12=$D$180),D182,
IF(AND(Авто_Калькулятор!$B$4=C182,Авто_Калькулятор!$E$12=$E$180),E182,
IF(AND(Авто_Калькулятор!$B$4=C182,Авто_Калькулятор!$E$12=$F$180),F182,
IF(AND(Авто_Калькулятор!$B$4=C182,Авто_Калькулятор!$E$12=$G$180),G182,
IF(AND(Авто_Калькулятор!$B$4=C182,Авто_Калькулятор!$E$12=$H$180),H182,
IF(AND(Авто_Калькулятор!$B$4=C182,Авто_Калькулятор!$E$12=$I$180),I182,
IF(AND(Авто_Калькулятор!$B$4=C182,Авто_Калькулятор!$E$12=$J$180),J182,0)))))))</f>
        <v>0</v>
      </c>
      <c r="C182" s="75" t="s">
        <v>173</v>
      </c>
      <c r="D182" s="109">
        <v>5.99</v>
      </c>
      <c r="E182" s="109">
        <v>7.99</v>
      </c>
      <c r="F182" s="109">
        <v>8.99</v>
      </c>
      <c r="G182" s="109">
        <v>9.99</v>
      </c>
      <c r="H182" s="109">
        <v>10.99</v>
      </c>
      <c r="I182" s="109">
        <v>10.99</v>
      </c>
      <c r="J182" s="109">
        <v>10.99</v>
      </c>
      <c r="K182" s="70">
        <f>IF(AND(Авто_Калькулятор!$B$4=C182, OR(Авто_Калькулятор!$E$12=$D$180,Авто_Калькулятор!$E$12=$E$180)),0.0299,
IF(AND(Авто_Калькулятор!$B$4=C182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2" s="56"/>
      <c r="M182" s="58"/>
    </row>
    <row r="183" spans="1:13" x14ac:dyDescent="0.25">
      <c r="A183" s="303"/>
      <c r="B183" s="47">
        <f>IF(AND(Авто_Калькулятор!$B$4=C183,Авто_Калькулятор!$E$12=$D$180),D183,
IF(AND(Авто_Калькулятор!$B$4=C183,Авто_Калькулятор!$E$12=$E$180),E183,
IF(AND(Авто_Калькулятор!$B$4=C183,Авто_Калькулятор!$E$12=$F$180),F183,
IF(AND(Авто_Калькулятор!$B$4=C183,Авто_Калькулятор!$E$12=$G$180),G183,
IF(AND(Авто_Калькулятор!$B$4=C183,Авто_Калькулятор!$E$12=$H$180),H183,
IF(AND(Авто_Калькулятор!$B$4=C183,Авто_Калькулятор!$E$12=$I$180),I183,
IF(AND(Авто_Калькулятор!$B$4=C183,Авто_Калькулятор!$E$12=$J$180),J183,0)))))))</f>
        <v>0</v>
      </c>
      <c r="C183" s="75" t="s">
        <v>174</v>
      </c>
      <c r="D183" s="109">
        <v>3.9899999999999998</v>
      </c>
      <c r="E183" s="109">
        <v>6.99</v>
      </c>
      <c r="F183" s="109">
        <v>7.99</v>
      </c>
      <c r="G183" s="109">
        <v>8.99</v>
      </c>
      <c r="H183" s="109">
        <v>9.99</v>
      </c>
      <c r="I183" s="109">
        <v>9.99</v>
      </c>
      <c r="J183" s="109">
        <v>9.99</v>
      </c>
      <c r="K183" s="70">
        <f>IF(AND(Авто_Калькулятор!$B$4=C183, OR(Авто_Калькулятор!$E$12=$D$180,Авто_Калькулятор!$E$12=$E$180)),0.0299,
IF(AND(Авто_Калькулятор!$B$4=C183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3" s="56"/>
      <c r="M183" s="58"/>
    </row>
    <row r="184" spans="1:13" x14ac:dyDescent="0.25">
      <c r="A184" s="303"/>
      <c r="B184" s="47">
        <f>IF(AND(Авто_Калькулятор!$B$4=C184,Авто_Калькулятор!$E$12=$D$180),D184,
IF(AND(Авто_Калькулятор!$B$4=C184,Авто_Калькулятор!$E$12=$E$180),E184,
IF(AND(Авто_Калькулятор!$B$4=C184,Авто_Калькулятор!$E$12=$F$180),F184,
IF(AND(Авто_Калькулятор!$B$4=C184,Авто_Калькулятор!$E$12=$G$180),G184,
IF(AND(Авто_Калькулятор!$B$4=C184,Авто_Калькулятор!$E$12=$H$180),H184,
IF(AND(Авто_Калькулятор!$B$4=C184,Авто_Калькулятор!$E$12=$I$180),I184,
IF(AND(Авто_Калькулятор!$B$4=C184,Авто_Калькулятор!$E$12=$J$180),J184,0)))))))</f>
        <v>0</v>
      </c>
      <c r="C184" s="76" t="s">
        <v>175</v>
      </c>
      <c r="D184" s="109">
        <v>1.9900000000000002</v>
      </c>
      <c r="E184" s="109">
        <v>5.99</v>
      </c>
      <c r="F184" s="109">
        <v>6.99</v>
      </c>
      <c r="G184" s="109">
        <v>7.99</v>
      </c>
      <c r="H184" s="109">
        <v>7.99</v>
      </c>
      <c r="I184" s="109">
        <v>7.99</v>
      </c>
      <c r="J184" s="109">
        <v>7.99</v>
      </c>
      <c r="K184" s="70">
        <f>IF(AND(Авто_Калькулятор!$B$4=C184, OR(Авто_Калькулятор!$E$12=$D$180,Авто_Калькулятор!$E$12=$E$180)),0.0299,
IF(AND(Авто_Калькулятор!$B$4=C184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4" s="56"/>
      <c r="M184" s="58"/>
    </row>
    <row r="185" spans="1:13" x14ac:dyDescent="0.25">
      <c r="A185" s="303"/>
      <c r="B185" s="47">
        <f>IF(AND(Авто_Калькулятор!$B$4=C185,Авто_Калькулятор!$E$12=$D$180),D185,
IF(AND(Авто_Калькулятор!$B$4=C185,Авто_Калькулятор!$E$12=$E$180),E185,
IF(AND(Авто_Калькулятор!$B$4=C185,Авто_Калькулятор!$E$12=$F$180),F185,
IF(AND(Авто_Калькулятор!$B$4=C185,Авто_Калькулятор!$E$12=$G$180),G185,
IF(AND(Авто_Калькулятор!$B$4=C185,Авто_Калькулятор!$E$12=$H$180),H185,
IF(AND(Авто_Калькулятор!$B$4=C185,Авто_Калькулятор!$E$12=$I$180),I185,
IF(AND(Авто_Калькулятор!$B$4=C185,Авто_Калькулятор!$E$12=$J$180),J185,0)))))))</f>
        <v>0</v>
      </c>
      <c r="C185" s="75" t="s">
        <v>176</v>
      </c>
      <c r="D185" s="109">
        <v>1E-3</v>
      </c>
      <c r="E185" s="109">
        <v>4.99</v>
      </c>
      <c r="F185" s="109">
        <v>5.99</v>
      </c>
      <c r="G185" s="109">
        <v>5.99</v>
      </c>
      <c r="H185" s="109">
        <v>6.99</v>
      </c>
      <c r="I185" s="109">
        <v>6.99</v>
      </c>
      <c r="J185" s="109">
        <v>6.99</v>
      </c>
      <c r="K185" s="70">
        <f>IF(AND(Авто_Калькулятор!$B$4=C185, OR(Авто_Калькулятор!$E$12=$D$180,Авто_Калькулятор!$E$12=$E$180)),0.0299,
IF(AND(Авто_Калькулятор!$B$4=C185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5" s="56"/>
      <c r="M185" s="58"/>
    </row>
    <row r="186" spans="1:13" x14ac:dyDescent="0.25">
      <c r="A186" s="303"/>
      <c r="B186" s="47">
        <f>IF(AND(Авто_Калькулятор!$B$4=C186,Авто_Калькулятор!$E$12=$D$180),D186,
IF(AND(Авто_Калькулятор!$B$4=C186,Авто_Калькулятор!$E$12=$E$180),E186,
IF(AND(Авто_Калькулятор!$B$4=C186,Авто_Калькулятор!$E$12=$F$180),F186,
IF(AND(Авто_Калькулятор!$B$4=C186,Авто_Калькулятор!$E$12=$G$180),G186,
IF(AND(Авто_Калькулятор!$B$4=C186,Авто_Калькулятор!$E$12=$H$180),H186,
IF(AND(Авто_Калькулятор!$B$4=C186,Авто_Калькулятор!$E$12=$I$180),I186,
IF(AND(Авто_Калькулятор!$B$4=C186,Авто_Калькулятор!$E$12=$J$180),J186,0)))))))</f>
        <v>0</v>
      </c>
      <c r="C186" s="76" t="s">
        <v>177</v>
      </c>
      <c r="D186" s="109">
        <v>1E-3</v>
      </c>
      <c r="E186" s="109">
        <v>3.9899999999999998</v>
      </c>
      <c r="F186" s="109">
        <v>4.99</v>
      </c>
      <c r="G186" s="109">
        <v>4.99</v>
      </c>
      <c r="H186" s="109">
        <v>5.99</v>
      </c>
      <c r="I186" s="109">
        <v>5.99</v>
      </c>
      <c r="J186" s="109">
        <v>5.99</v>
      </c>
      <c r="K186" s="70">
        <f>IF(AND(Авто_Калькулятор!$B$4=C186, OR(Авто_Калькулятор!$E$12=$D$180,Авто_Калькулятор!$E$12=$E$180)),0.0299,
IF(AND(Авто_Калькулятор!$B$4=C186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6" s="56"/>
      <c r="M186" s="58"/>
    </row>
    <row r="187" spans="1:13" ht="15.75" thickBot="1" x14ac:dyDescent="0.3">
      <c r="A187" s="303"/>
      <c r="B187" s="47">
        <f>IF(AND(Авто_Калькулятор!$B$4=C187,Авто_Калькулятор!$E$12=$D$180),D187,
IF(AND(Авто_Калькулятор!$B$4=C187,Авто_Калькулятор!$E$12=$E$180),E187,
IF(AND(Авто_Калькулятор!$B$4=C187,Авто_Калькулятор!$E$12=$F$180),F187,
IF(AND(Авто_Калькулятор!$B$4=C187,Авто_Калькулятор!$E$12=$G$180),G187,
IF(AND(Авто_Калькулятор!$B$4=C187,Авто_Калькулятор!$E$12=$H$180),H187,
IF(AND(Авто_Калькулятор!$B$4=C187,Авто_Калькулятор!$E$12=$I$180),I187,
IF(AND(Авто_Калькулятор!$B$4=C187,Авто_Калькулятор!$E$12=$J$180),J187,0)))))))</f>
        <v>0</v>
      </c>
      <c r="C187" s="75" t="s">
        <v>178</v>
      </c>
      <c r="D187" s="109">
        <v>1E-3</v>
      </c>
      <c r="E187" s="109">
        <v>1E-3</v>
      </c>
      <c r="F187" s="109">
        <v>3.9899999999999998</v>
      </c>
      <c r="G187" s="109">
        <v>3.9899999999999998</v>
      </c>
      <c r="H187" s="109">
        <v>4.99</v>
      </c>
      <c r="I187" s="109">
        <v>4.99</v>
      </c>
      <c r="J187" s="109">
        <v>4.99</v>
      </c>
      <c r="K187" s="70">
        <f>IF(AND(Авто_Калькулятор!$B$4=C187, OR(Авто_Калькулятор!$E$12=$D$180,Авто_Калькулятор!$E$12=$E$180)),0.0299,
IF(AND(Авто_Калькулятор!$B$4=C187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7" s="56"/>
      <c r="M187" s="58"/>
    </row>
    <row r="188" spans="1:13" ht="15.75" thickBot="1" x14ac:dyDescent="0.3">
      <c r="A188" s="304"/>
      <c r="B188" s="72">
        <f>SUM(B181:B187)</f>
        <v>0</v>
      </c>
      <c r="C188" s="60"/>
      <c r="D188" s="60"/>
      <c r="E188" s="60"/>
      <c r="F188" s="60"/>
      <c r="G188" s="60"/>
      <c r="H188" s="60"/>
      <c r="I188" s="60"/>
      <c r="J188" s="60"/>
      <c r="K188" s="72">
        <f>SUM(K181:K187)</f>
        <v>0</v>
      </c>
      <c r="L188" s="60"/>
      <c r="M188" s="61"/>
    </row>
    <row r="189" spans="1:13" ht="15.75" x14ac:dyDescent="0.25">
      <c r="A189" s="302" t="s">
        <v>193</v>
      </c>
      <c r="B189" s="62" t="s">
        <v>26</v>
      </c>
      <c r="C189" s="63" t="s">
        <v>27</v>
      </c>
      <c r="D189" s="94">
        <v>12</v>
      </c>
      <c r="E189" s="94">
        <v>24</v>
      </c>
      <c r="F189" s="94">
        <v>36</v>
      </c>
      <c r="G189" s="94">
        <v>48</v>
      </c>
      <c r="H189" s="94">
        <v>60</v>
      </c>
      <c r="I189" s="94">
        <v>72</v>
      </c>
      <c r="J189" s="94">
        <v>84</v>
      </c>
      <c r="K189" s="46" t="s">
        <v>46</v>
      </c>
      <c r="L189" s="65" t="s">
        <v>28</v>
      </c>
      <c r="M189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148&gt;=70,Аркуш1!C196,IF(Авто_Калькулятор!$V$23&gt;=60,C195,IF(Авто_Калькулятор!$V$23&gt;=50,C194,IF(Авто_Калькулятор!$V$23&gt;=40,C193,IF(Авто_Калькулятор!$V$23&gt;=30,C192,IF(Авто_Калькулятор!$V$23&gt;=20,C191,IF(Авто_Калькулятор!$V$23&gt;=10,C190,))))))))&amp;IF(AND(Авто_Калькулятор!$V$23&lt;10,Авто_Калькулятор!$V$23&gt;0),"Сума авансового платежу недостатня",""))</f>
        <v/>
      </c>
    </row>
    <row r="190" spans="1:13" x14ac:dyDescent="0.25">
      <c r="A190" s="303"/>
      <c r="B190" s="47">
        <f>IF(AND(Авто_Калькулятор!$B$4=C190,Авто_Калькулятор!$E$12=$D$180),D190,
IF(AND(Авто_Калькулятор!$B$4=C190,Авто_Калькулятор!$E$12=$E$180),E190,
IF(AND(Авто_Калькулятор!$B$4=C190,Авто_Калькулятор!$E$12=$F$180),F190,
IF(AND(Авто_Калькулятор!$B$4=C190,Авто_Калькулятор!$E$12=$G$180),G190,
IF(AND(Авто_Калькулятор!$B$4=C190,Авто_Калькулятор!$E$12=$H$180),H190,
IF(AND(Авто_Калькулятор!$B$4=C190,Авто_Калькулятор!$E$12=$I$180),I190,
IF(AND(Авто_Калькулятор!$B$4=C190,Авто_Калькулятор!$E$12=$J$180),J190,0)))))))</f>
        <v>0</v>
      </c>
      <c r="C190" s="103" t="s">
        <v>186</v>
      </c>
      <c r="D190" s="109">
        <v>4.49</v>
      </c>
      <c r="E190" s="109">
        <v>9.49</v>
      </c>
      <c r="F190" s="109">
        <v>10.489999999999998</v>
      </c>
      <c r="G190" s="109">
        <v>10.489999999999998</v>
      </c>
      <c r="H190" s="109">
        <v>11.49</v>
      </c>
      <c r="I190" s="109">
        <v>11.49</v>
      </c>
      <c r="J190" s="109">
        <v>11.49</v>
      </c>
      <c r="K190" s="70">
        <f>IF(AND(Авто_Калькулятор!$B$4=C190, OR(Авто_Калькулятор!$E$12=$D$189)),0.0249,
IF(AND(Авто_Калькулятор!$B$4=C190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0" s="100">
        <f>IF(Авто_Калькулятор!$E$12=D189,0%,IF(OR(Авто_Калькулятор!$E$12=E189,Авто_Калькулятор!$E$12=F189),0%,0%))</f>
        <v>0</v>
      </c>
      <c r="M190" s="74" t="s">
        <v>89</v>
      </c>
    </row>
    <row r="191" spans="1:13" x14ac:dyDescent="0.25">
      <c r="A191" s="303"/>
      <c r="B191" s="47">
        <f>IF(AND(Авто_Калькулятор!$B$4=C191,Авто_Калькулятор!$E$12=$D$180),D191,
IF(AND(Авто_Калькулятор!$B$4=C191,Авто_Калькулятор!$E$12=$E$180),E191,
IF(AND(Авто_Калькулятор!$B$4=C191,Авто_Калькулятор!$E$12=$F$180),F191,
IF(AND(Авто_Калькулятор!$B$4=C191,Авто_Калькулятор!$E$12=$G$180),G191,
IF(AND(Авто_Калькулятор!$B$4=C191,Авто_Калькулятор!$E$12=$H$180),H191,
IF(AND(Авто_Калькулятор!$B$4=C191,Авто_Калькулятор!$E$12=$I$180),I191,
IF(AND(Авто_Калькулятор!$B$4=C191,Авто_Калькулятор!$E$12=$J$180),J191,0)))))))</f>
        <v>0</v>
      </c>
      <c r="C191" s="103" t="s">
        <v>187</v>
      </c>
      <c r="D191" s="109">
        <v>3.49</v>
      </c>
      <c r="E191" s="109">
        <v>8.49</v>
      </c>
      <c r="F191" s="109">
        <v>9.49</v>
      </c>
      <c r="G191" s="109">
        <v>9.49</v>
      </c>
      <c r="H191" s="109">
        <v>11.49</v>
      </c>
      <c r="I191" s="109">
        <v>11.49</v>
      </c>
      <c r="J191" s="109">
        <v>11.49</v>
      </c>
      <c r="K191" s="70">
        <f>IF(AND(Авто_Калькулятор!$B$4=C191, OR(Авто_Калькулятор!$E$12=$D$189)),0.0249,
IF(AND(Авто_Калькулятор!$B$4=C191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1" s="56"/>
      <c r="M191" s="58"/>
    </row>
    <row r="192" spans="1:13" x14ac:dyDescent="0.25">
      <c r="A192" s="303"/>
      <c r="B192" s="47">
        <f>IF(AND(Авто_Калькулятор!$B$4=C192,Авто_Калькулятор!$E$12=$D$180),D192,
IF(AND(Авто_Калькулятор!$B$4=C192,Авто_Калькулятор!$E$12=$E$180),E192,
IF(AND(Авто_Калькулятор!$B$4=C192,Авто_Калькулятор!$E$12=$F$180),F192,
IF(AND(Авто_Калькулятор!$B$4=C192,Авто_Калькулятор!$E$12=$G$180),G192,
IF(AND(Авто_Калькулятор!$B$4=C192,Авто_Калькулятор!$E$12=$H$180),H192,
IF(AND(Авто_Калькулятор!$B$4=C192,Авто_Калькулятор!$E$12=$I$180),I192,
IF(AND(Авто_Калькулятор!$B$4=C192,Авто_Калькулятор!$E$12=$J$180),J192,0)))))))</f>
        <v>0</v>
      </c>
      <c r="C192" s="103" t="s">
        <v>188</v>
      </c>
      <c r="D192" s="109">
        <v>1E-3</v>
      </c>
      <c r="E192" s="109">
        <v>7.4899999999999993</v>
      </c>
      <c r="F192" s="109">
        <v>9.49</v>
      </c>
      <c r="G192" s="109">
        <v>9.49</v>
      </c>
      <c r="H192" s="109">
        <v>10.489999999999998</v>
      </c>
      <c r="I192" s="109">
        <v>10.489999999999998</v>
      </c>
      <c r="J192" s="109">
        <v>10.489999999999998</v>
      </c>
      <c r="K192" s="70">
        <f>IF(AND(Авто_Калькулятор!$B$4=C192, OR(Авто_Калькулятор!$E$12=$D$189)),0.0249,
IF(AND(Авто_Калькулятор!$B$4=C192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2" s="56"/>
      <c r="M192" s="58"/>
    </row>
    <row r="193" spans="1:13" x14ac:dyDescent="0.25">
      <c r="A193" s="303"/>
      <c r="B193" s="47">
        <f>IF(AND(Авто_Калькулятор!$B$4=C193,Авто_Калькулятор!$E$12=$D$180),D193,
IF(AND(Авто_Калькулятор!$B$4=C193,Авто_Калькулятор!$E$12=$E$180),E193,
IF(AND(Авто_Калькулятор!$B$4=C193,Авто_Калькулятор!$E$12=$F$180),F193,
IF(AND(Авто_Калькулятор!$B$4=C193,Авто_Калькулятор!$E$12=$G$180),G193,
IF(AND(Авто_Калькулятор!$B$4=C193,Авто_Калькулятор!$E$12=$H$180),H193,
IF(AND(Авто_Калькулятор!$B$4=C193,Авто_Калькулятор!$E$12=$I$180),I193,
IF(AND(Авто_Калькулятор!$B$4=C193,Авто_Калькулятор!$E$12=$J$180),J193,0)))))))</f>
        <v>0</v>
      </c>
      <c r="C193" s="103" t="s">
        <v>189</v>
      </c>
      <c r="D193" s="109">
        <v>1E-3</v>
      </c>
      <c r="E193" s="109">
        <v>5.4899999999999993</v>
      </c>
      <c r="F193" s="109">
        <v>7.4899999999999993</v>
      </c>
      <c r="G193" s="109">
        <v>7.4899999999999993</v>
      </c>
      <c r="H193" s="109">
        <v>8.49</v>
      </c>
      <c r="I193" s="109">
        <v>9.49</v>
      </c>
      <c r="J193" s="109">
        <v>9.49</v>
      </c>
      <c r="K193" s="70">
        <f>IF(AND(Авто_Калькулятор!$B$4=C193, OR(Авто_Калькулятор!$E$12=$D$189)),0.0249,
IF(AND(Авто_Калькулятор!$B$4=C193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3" s="56"/>
      <c r="M193" s="58"/>
    </row>
    <row r="194" spans="1:13" x14ac:dyDescent="0.25">
      <c r="A194" s="303"/>
      <c r="B194" s="47">
        <f>IF(AND(Авто_Калькулятор!$B$4=C194,Авто_Калькулятор!$E$12=$D$180),D194,
IF(AND(Авто_Калькулятор!$B$4=C194,Авто_Калькулятор!$E$12=$E$180),E194,
IF(AND(Авто_Калькулятор!$B$4=C194,Авто_Калькулятор!$E$12=$F$180),F194,
IF(AND(Авто_Калькулятор!$B$4=C194,Авто_Калькулятор!$E$12=$G$180),G194,
IF(AND(Авто_Калькулятор!$B$4=C194,Авто_Калькулятор!$E$12=$H$180),H194,
IF(AND(Авто_Калькулятор!$B$4=C194,Авто_Калькулятор!$E$12=$I$180),I194,
IF(AND(Авто_Калькулятор!$B$4=C194,Авто_Калькулятор!$E$12=$J$180),J194,0)))))))</f>
        <v>0</v>
      </c>
      <c r="C194" s="103" t="s">
        <v>190</v>
      </c>
      <c r="D194" s="109">
        <v>1E-3</v>
      </c>
      <c r="E194" s="109">
        <v>3.49</v>
      </c>
      <c r="F194" s="109">
        <v>6.49</v>
      </c>
      <c r="G194" s="109">
        <v>6.49</v>
      </c>
      <c r="H194" s="109">
        <v>7.4899999999999993</v>
      </c>
      <c r="I194" s="109">
        <v>7.4899999999999993</v>
      </c>
      <c r="J194" s="109">
        <v>7.4899999999999993</v>
      </c>
      <c r="K194" s="70">
        <f>IF(AND(Авто_Калькулятор!$B$4=C194, OR(Авто_Калькулятор!$E$12=$D$189)),0.0249,
IF(AND(Авто_Калькулятор!$B$4=C194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4" s="56"/>
      <c r="M194" s="58"/>
    </row>
    <row r="195" spans="1:13" x14ac:dyDescent="0.25">
      <c r="A195" s="303"/>
      <c r="B195" s="47">
        <f>IF(AND(Авто_Калькулятор!$B$4=C195,Авто_Калькулятор!$E$12=$D$180),D195,
IF(AND(Авто_Калькулятор!$B$4=C195,Авто_Калькулятор!$E$12=$E$180),E195,
IF(AND(Авто_Калькулятор!$B$4=C195,Авто_Калькулятор!$E$12=$F$180),F195,
IF(AND(Авто_Калькулятор!$B$4=C195,Авто_Калькулятор!$E$12=$G$180),G195,
IF(AND(Авто_Калькулятор!$B$4=C195,Авто_Калькулятор!$E$12=$H$180),H195,
IF(AND(Авто_Калькулятор!$B$4=C195,Авто_Калькулятор!$E$12=$I$180),I195,
IF(AND(Авто_Калькулятор!$B$4=C195,Авто_Калькулятор!$E$12=$J$180),J195,0)))))))</f>
        <v>0</v>
      </c>
      <c r="C195" s="103" t="s">
        <v>191</v>
      </c>
      <c r="D195" s="109">
        <v>1E-3</v>
      </c>
      <c r="E195" s="109">
        <v>1E-3</v>
      </c>
      <c r="F195" s="109">
        <v>4.49</v>
      </c>
      <c r="G195" s="109">
        <v>5.4899999999999993</v>
      </c>
      <c r="H195" s="109">
        <v>6.49</v>
      </c>
      <c r="I195" s="109">
        <v>6.49</v>
      </c>
      <c r="J195" s="109">
        <v>6.49</v>
      </c>
      <c r="K195" s="70">
        <f>IF(AND(Авто_Калькулятор!$B$4=C195, OR(Авто_Калькулятор!$E$12=$D$189)),0.0249,
IF(AND(Авто_Калькулятор!$B$4=C195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5" s="56"/>
      <c r="M195" s="58"/>
    </row>
    <row r="196" spans="1:13" ht="15.75" thickBot="1" x14ac:dyDescent="0.3">
      <c r="A196" s="303"/>
      <c r="B196" s="47">
        <f>IF(AND(Авто_Калькулятор!$B$4=C196,Авто_Калькулятор!$E$12=$D$180),D196,
IF(AND(Авто_Калькулятор!$B$4=C196,Авто_Калькулятор!$E$12=$E$180),E196,
IF(AND(Авто_Калькулятор!$B$4=C196,Авто_Калькулятор!$E$12=$F$180),F196,
IF(AND(Авто_Калькулятор!$B$4=C196,Авто_Калькулятор!$E$12=$G$180),G196,
IF(AND(Авто_Калькулятор!$B$4=C196,Авто_Калькулятор!$E$12=$H$180),H196,
IF(AND(Авто_Калькулятор!$B$4=C196,Авто_Калькулятор!$E$12=$I$180),I196,
IF(AND(Авто_Калькулятор!$B$4=C196,Авто_Калькулятор!$E$12=$J$180),J196,0)))))))</f>
        <v>0</v>
      </c>
      <c r="C196" s="103" t="s">
        <v>192</v>
      </c>
      <c r="D196" s="109">
        <v>1E-3</v>
      </c>
      <c r="E196" s="109">
        <v>1E-3</v>
      </c>
      <c r="F196" s="109">
        <v>1E-3</v>
      </c>
      <c r="G196" s="109">
        <v>2.4899999999999998</v>
      </c>
      <c r="H196" s="109">
        <v>3.49</v>
      </c>
      <c r="I196" s="109">
        <v>4.49</v>
      </c>
      <c r="J196" s="109">
        <v>4.49</v>
      </c>
      <c r="K196" s="70">
        <f>IF(AND(Авто_Калькулятор!$B$4=C196, OR(Авто_Калькулятор!$E$12=$D$189)),0.0249,
IF(AND(Авто_Калькулятор!$B$4=C196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6" s="56"/>
      <c r="M196" s="58"/>
    </row>
    <row r="197" spans="1:13" ht="15.75" thickBot="1" x14ac:dyDescent="0.3">
      <c r="A197" s="304"/>
      <c r="B197" s="72">
        <f>SUM(B190:B196)</f>
        <v>0</v>
      </c>
      <c r="C197" s="60"/>
      <c r="D197" s="60"/>
      <c r="E197" s="60"/>
      <c r="F197" s="60"/>
      <c r="G197" s="60"/>
      <c r="H197" s="60"/>
      <c r="I197" s="60"/>
      <c r="J197" s="60"/>
      <c r="K197" s="72">
        <f>SUM(K190:K196)</f>
        <v>0</v>
      </c>
      <c r="L197" s="60"/>
      <c r="M197" s="61"/>
    </row>
    <row r="198" spans="1:13" ht="15.75" x14ac:dyDescent="0.25">
      <c r="A198" s="319" t="s">
        <v>231</v>
      </c>
      <c r="B198" s="62" t="s">
        <v>26</v>
      </c>
      <c r="C198" s="63" t="s">
        <v>27</v>
      </c>
      <c r="D198" s="94">
        <v>12</v>
      </c>
      <c r="E198" s="94">
        <v>24</v>
      </c>
      <c r="F198" s="94">
        <v>36</v>
      </c>
      <c r="G198" s="94">
        <v>48</v>
      </c>
      <c r="H198" s="94">
        <v>60</v>
      </c>
      <c r="I198" s="94">
        <v>72</v>
      </c>
      <c r="J198" s="94">
        <v>84</v>
      </c>
      <c r="K198" s="46" t="s">
        <v>46</v>
      </c>
      <c r="L198" s="65" t="s">
        <v>28</v>
      </c>
      <c r="M198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40,C202,IF(Авто_Калькулятор!$V$23&gt;=30,C201,IF(Авто_Калькулятор!$V$23&gt;=20,C200,IF(Авто_Калькулятор!$V$23&gt;=10,C199,))))))&amp;IF(AND(Авто_Калькулятор!$V$23&lt;10,Авто_Калькулятор!$V$23&gt;0),"Сума авансового платежу недостатня","")</f>
        <v/>
      </c>
    </row>
    <row r="199" spans="1:13" x14ac:dyDescent="0.25">
      <c r="A199" s="320"/>
      <c r="B199" s="47">
        <f>IF(AND(Авто_Калькулятор!$B$4=C199,Авто_Калькулятор!$E$12=$D$154),D199,
IF(AND(Авто_Калькулятор!$B$4=C199,Авто_Калькулятор!$E$12=$E$154),E199,
IF(AND(Авто_Калькулятор!$B$4=C199,Авто_Калькулятор!$E$12=$F$154),F199,
IF(AND(Авто_Калькулятор!$B$4=C199,Авто_Калькулятор!$E$12=$G$154),G199,
IF(AND(Авто_Калькулятор!$B$4=C199,Авто_Калькулятор!$E$12=$H$154),H199,
IF(AND(Авто_Калькулятор!$B$4=C199,Авто_Калькулятор!$E$12=$I$154),I199,
IF(AND(Авто_Калькулятор!$B$4=C199,Авто_Калькулятор!$E$12=$J$154),J199,0)))))))</f>
        <v>0</v>
      </c>
      <c r="C199" s="92" t="s">
        <v>227</v>
      </c>
      <c r="D199" s="99"/>
      <c r="E199" s="99"/>
      <c r="F199" s="95">
        <v>22.99</v>
      </c>
      <c r="G199" s="95"/>
      <c r="H199" s="95">
        <v>24.990000000000002</v>
      </c>
      <c r="I199" s="95"/>
      <c r="J199" s="95">
        <v>29.99</v>
      </c>
      <c r="K199" s="70">
        <f>IF(AND(Авто_Калькулятор!$B$4=C199, OR(Авто_Калькулятор!$E$12=$D$168)),0,
IF(AND(Авто_Калькулятор!$B$4=C199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99" s="100">
        <f>IF(Авто_Калькулятор!$E$12=D198,0%,IF(OR(Авто_Калькулятор!$E$12=E198),0%,0%))</f>
        <v>0</v>
      </c>
      <c r="M199" s="74" t="s">
        <v>89</v>
      </c>
    </row>
    <row r="200" spans="1:13" x14ac:dyDescent="0.25">
      <c r="A200" s="320"/>
      <c r="B200" s="47">
        <f>IF(AND(Авто_Калькулятор!$B$4=C200,Авто_Калькулятор!$E$12=$D$154),D200,
IF(AND(Авто_Калькулятор!$B$4=C200,Авто_Калькулятор!$E$12=$E$154),E200,
IF(AND(Авто_Калькулятор!$B$4=C200,Авто_Калькулятор!$E$12=$F$154),F200,
IF(AND(Авто_Калькулятор!$B$4=C200,Авто_Калькулятор!$E$12=$G$154),G200,
IF(AND(Авто_Калькулятор!$B$4=C200,Авто_Калькулятор!$E$12=$H$154),H200,
IF(AND(Авто_Калькулятор!$B$4=C200,Авто_Калькулятор!$E$12=$I$154),I200,
IF(AND(Авто_Калькулятор!$B$4=C200,Авто_Калькулятор!$E$12=$J$154),J200,0)))))))</f>
        <v>0</v>
      </c>
      <c r="C200" s="92" t="s">
        <v>228</v>
      </c>
      <c r="D200" s="99"/>
      <c r="E200" s="99"/>
      <c r="F200" s="95">
        <v>22.99</v>
      </c>
      <c r="G200" s="95"/>
      <c r="H200" s="95">
        <v>24.990000000000002</v>
      </c>
      <c r="I200" s="95"/>
      <c r="J200" s="95">
        <v>29.99</v>
      </c>
      <c r="K200" s="70">
        <f>IF(AND(Авто_Калькулятор!$B$4=C200, OR(Авто_Калькулятор!$E$12=$D$168)),0,
IF(AND(Авто_Калькулятор!$B$4=C200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200" s="95"/>
      <c r="M200" s="58"/>
    </row>
    <row r="201" spans="1:13" x14ac:dyDescent="0.25">
      <c r="A201" s="320"/>
      <c r="B201" s="47">
        <f>IF(AND(Авто_Калькулятор!$B$4=C201,Авто_Калькулятор!$E$12=$D$154),D201,
IF(AND(Авто_Калькулятор!$B$4=C201,Авто_Калькулятор!$E$12=$E$154),E201,
IF(AND(Авто_Калькулятор!$B$4=C201,Авто_Калькулятор!$E$12=$F$154),F201,
IF(AND(Авто_Калькулятор!$B$4=C201,Авто_Калькулятор!$E$12=$G$154),G201,
IF(AND(Авто_Калькулятор!$B$4=C201,Авто_Калькулятор!$E$12=$H$154),H201,
IF(AND(Авто_Калькулятор!$B$4=C201,Авто_Калькулятор!$E$12=$I$154),I201,
IF(AND(Авто_Калькулятор!$B$4=C201,Авто_Калькулятор!$E$12=$J$154),J201,0)))))))</f>
        <v>0</v>
      </c>
      <c r="C201" s="92" t="s">
        <v>229</v>
      </c>
      <c r="D201" s="99"/>
      <c r="E201" s="99"/>
      <c r="F201" s="95">
        <v>22.99</v>
      </c>
      <c r="G201" s="95"/>
      <c r="H201" s="95">
        <v>24.990000000000002</v>
      </c>
      <c r="I201" s="95"/>
      <c r="J201" s="95">
        <v>28.99</v>
      </c>
      <c r="K201" s="70">
        <f>IF(AND(Авто_Калькулятор!$B$4=C201, OR(Авто_Калькулятор!$E$12=$D$168)),0,
IF(AND(Авто_Калькулятор!$B$4=C201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201" s="95"/>
      <c r="M201" s="58"/>
    </row>
    <row r="202" spans="1:13" ht="15.75" thickBot="1" x14ac:dyDescent="0.3">
      <c r="A202" s="320"/>
      <c r="B202" s="47">
        <f>IF(AND(Авто_Калькулятор!$B$4=C202,Авто_Калькулятор!$E$12=$D$154),D202,
IF(AND(Авто_Калькулятор!$B$4=C202,Авто_Калькулятор!$E$12=$E$154),E202,
IF(AND(Авто_Калькулятор!$B$4=C202,Авто_Калькулятор!$E$12=$F$154),F202,
IF(AND(Авто_Калькулятор!$B$4=C202,Авто_Калькулятор!$E$12=$G$154),G202,
IF(AND(Авто_Калькулятор!$B$4=C202,Авто_Калькулятор!$E$12=$H$154),H202,
IF(AND(Авто_Калькулятор!$B$4=C202,Авто_Калькулятор!$E$12=$I$154),I202,
IF(AND(Авто_Калькулятор!$B$4=C202,Авто_Калькулятор!$E$12=$J$154),J202,0)))))))</f>
        <v>0</v>
      </c>
      <c r="C202" s="92" t="s">
        <v>230</v>
      </c>
      <c r="D202" s="99"/>
      <c r="E202" s="99"/>
      <c r="F202" s="95">
        <v>28.99</v>
      </c>
      <c r="G202" s="95"/>
      <c r="H202" s="95">
        <v>24.990000000000002</v>
      </c>
      <c r="I202" s="95"/>
      <c r="J202" s="95">
        <v>28.99</v>
      </c>
      <c r="K202" s="70">
        <f>IF(AND(Авто_Калькулятор!$B$4=C202, OR(Авто_Калькулятор!$E$12=$D$168)),0,
IF(AND(Авто_Калькулятор!$B$4=C202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202" s="95"/>
      <c r="M202" s="58"/>
    </row>
    <row r="203" spans="1:13" ht="15.75" thickBot="1" x14ac:dyDescent="0.3">
      <c r="A203" s="321"/>
      <c r="B203" s="72">
        <f>SUM(B199:B202)</f>
        <v>0</v>
      </c>
      <c r="C203" s="60"/>
      <c r="D203" s="93"/>
      <c r="E203" s="93"/>
      <c r="F203" s="93"/>
      <c r="G203" s="93"/>
      <c r="H203" s="93"/>
      <c r="I203" s="93"/>
      <c r="J203" s="93"/>
      <c r="K203" s="72">
        <f>SUM(K199:K202)</f>
        <v>0</v>
      </c>
      <c r="L203" s="60"/>
      <c r="M203" s="61"/>
    </row>
    <row r="204" spans="1:13" ht="15.75" x14ac:dyDescent="0.25">
      <c r="A204" s="311" t="s">
        <v>206</v>
      </c>
      <c r="B204" s="62" t="s">
        <v>26</v>
      </c>
      <c r="C204" s="63" t="s">
        <v>27</v>
      </c>
      <c r="D204" s="94">
        <v>12</v>
      </c>
      <c r="E204" s="94">
        <v>24</v>
      </c>
      <c r="F204" s="94">
        <v>36</v>
      </c>
      <c r="G204" s="94">
        <v>48</v>
      </c>
      <c r="H204" s="94">
        <v>60</v>
      </c>
      <c r="I204" s="94">
        <v>72</v>
      </c>
      <c r="J204" s="94">
        <v>84</v>
      </c>
      <c r="K204" s="46" t="s">
        <v>46</v>
      </c>
      <c r="L204" s="65" t="s">
        <v>28</v>
      </c>
      <c r="M204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50,C209,IF(Авто_Калькулятор!$V$23&gt;=40,C208,IF(Авто_Калькулятор!$V$23&gt;=30,C207,IF(Авто_Калькулятор!$V$23&gt;=20,C206,IF(Авто_Калькулятор!$V$23&gt;=10,C205,)))))))&amp;IF(AND(Авто_Калькулятор!$V$23&lt;10,Авто_Калькулятор!$V$23&gt;0),"Сума авансового платежу недостатня","")</f>
        <v/>
      </c>
    </row>
    <row r="205" spans="1:13" x14ac:dyDescent="0.25">
      <c r="A205" s="312"/>
      <c r="B205" s="47">
        <f>IF(AND(Авто_Калькулятор!$B$4=C205,Авто_Калькулятор!$E$12=$D$129),D205,
IF(AND(Авто_Калькулятор!$B$4=C205,Авто_Калькулятор!$E$12=$E$129),E205,
IF(AND(Авто_Калькулятор!$B$4=C205,Авто_Калькулятор!$E$12=$F$129),F205,
IF(AND(Авто_Калькулятор!$B$4=C205,Авто_Калькулятор!$E$12=$G$129),G205,
IF(AND(Авто_Калькулятор!$B$4=C205,Авто_Калькулятор!$E$12=$H$129),H205,
IF(AND(Авто_Калькулятор!$B$4=C205,Авто_Калькулятор!$E$12=$I$129),I205,
IF(AND(Авто_Калькулятор!$B$4=C205,Авто_Калькулятор!$E$12=$J$129),J205,0)))))))</f>
        <v>0</v>
      </c>
      <c r="C205" s="76" t="s">
        <v>207</v>
      </c>
      <c r="D205" s="111">
        <v>9.39</v>
      </c>
      <c r="E205" s="111">
        <v>9.39</v>
      </c>
      <c r="F205" s="111">
        <v>10.89</v>
      </c>
      <c r="G205" s="111">
        <v>10.89</v>
      </c>
      <c r="H205" s="111">
        <v>10.89</v>
      </c>
      <c r="I205" s="111">
        <v>11.89</v>
      </c>
      <c r="J205" s="111">
        <v>12.889999999999999</v>
      </c>
      <c r="K205" s="70">
        <f>IF(AND(Авто_Калькулятор!$B$4=C205, OR(Авто_Калькулятор!$E$12=$D$204,Авто_Калькулятор!$E$12=$E$204,Авто_Калькулятор!$E$12=$F$204,)),0.0299,
IF(AND(Авто_Калькулятор!$B$4=C205,OR(Авто_Калькулятор!$E$12=$G$204,Авто_Калькулятор!$E$12=$H$204,Авто_Калькулятор!$E$12=$I$204,Авто_Калькулятор!$E$12=$J$204)),0.0199,0))</f>
        <v>0</v>
      </c>
      <c r="L205" s="52" cm="1">
        <f t="array" ref="L205">IFERROR(_xlfn.IFS(Авто_Калькулятор!B4=Аркуш1!C205,2.24%,Авто_Калькулятор!B4=Аркуш1!C206,2.49%,Авто_Калькулятор!B4=Аркуш1!C207,2.8%,Авто_Калькулятор!B4=Аркуш1!C208,3.22%,Авто_Калькулятор!B4=Аркуш1!C209,3.8%),0)</f>
        <v>0</v>
      </c>
      <c r="M205" s="74" t="s">
        <v>89</v>
      </c>
    </row>
    <row r="206" spans="1:13" x14ac:dyDescent="0.25">
      <c r="A206" s="312"/>
      <c r="B206" s="47">
        <f>IF(AND(Авто_Калькулятор!$B$4=C206,Авто_Калькулятор!$E$12=$D$129),D206,
IF(AND(Авто_Калькулятор!$B$4=C206,Авто_Калькулятор!$E$12=$E$129),E206,
IF(AND(Авто_Калькулятор!$B$4=C206,Авто_Калькулятор!$E$12=$F$129),F206,
IF(AND(Авто_Калькулятор!$B$4=C206,Авто_Калькулятор!$E$12=$G$129),G206,
IF(AND(Авто_Калькулятор!$B$4=C206,Авто_Калькулятор!$E$12=$H$129),H206,
IF(AND(Авто_Калькулятор!$B$4=C206,Авто_Калькулятор!$E$12=$I$129),I206,
IF(AND(Авто_Калькулятор!$B$4=C206,Авто_Калькулятор!$E$12=$J$129),J206,0)))))))</f>
        <v>0</v>
      </c>
      <c r="C206" s="76" t="s">
        <v>208</v>
      </c>
      <c r="D206" s="111">
        <v>9.39</v>
      </c>
      <c r="E206" s="111">
        <v>9.39</v>
      </c>
      <c r="F206" s="111">
        <v>9.89</v>
      </c>
      <c r="G206" s="111">
        <v>10.89</v>
      </c>
      <c r="H206" s="111">
        <v>10.89</v>
      </c>
      <c r="I206" s="111">
        <v>11.89</v>
      </c>
      <c r="J206" s="111">
        <v>12.889999999999999</v>
      </c>
      <c r="K206" s="70">
        <f>IF(AND(Авто_Калькулятор!$B$4=C206, OR(Авто_Калькулятор!$E$12=$D$204,Авто_Калькулятор!$E$12=$E$204,Авто_Калькулятор!$E$12=$F$204,)),0.0299,
IF(AND(Авто_Калькулятор!$B$4=C206,OR(Авто_Калькулятор!$E$12=$G$204,Авто_Калькулятор!$E$12=$H$204,Авто_Калькулятор!$E$12=$I$204,Авто_Калькулятор!$E$12=$J$204)),0.0199,0))</f>
        <v>0</v>
      </c>
      <c r="L206" s="56"/>
      <c r="M206" s="58"/>
    </row>
    <row r="207" spans="1:13" x14ac:dyDescent="0.25">
      <c r="A207" s="312"/>
      <c r="B207" s="47">
        <f>IF(AND(Авто_Калькулятор!$B$4=C207,Авто_Калькулятор!$E$12=$D$129),D207,
IF(AND(Авто_Калькулятор!$B$4=C207,Авто_Калькулятор!$E$12=$E$129),E207,
IF(AND(Авто_Калькулятор!$B$4=C207,Авто_Калькулятор!$E$12=$F$129),F207,
IF(AND(Авто_Калькулятор!$B$4=C207,Авто_Калькулятор!$E$12=$G$129),G207,
IF(AND(Авто_Калькулятор!$B$4=C207,Авто_Калькулятор!$E$12=$H$129),H207,
IF(AND(Авто_Калькулятор!$B$4=C207,Авто_Калькулятор!$E$12=$I$129),I207,
IF(AND(Авто_Калькулятор!$B$4=C207,Авто_Калькулятор!$E$12=$J$129),J207,0)))))))</f>
        <v>0</v>
      </c>
      <c r="C207" s="76" t="s">
        <v>209</v>
      </c>
      <c r="D207" s="111">
        <v>9.39</v>
      </c>
      <c r="E207" s="111">
        <v>9.39</v>
      </c>
      <c r="F207" s="111">
        <v>9.39</v>
      </c>
      <c r="G207" s="111">
        <v>9.89</v>
      </c>
      <c r="H207" s="111">
        <v>10.89</v>
      </c>
      <c r="I207" s="111">
        <v>11.39</v>
      </c>
      <c r="J207" s="111">
        <v>12.389999999999999</v>
      </c>
      <c r="K207" s="70">
        <f>IF(AND(Авто_Калькулятор!$B$4=C207, OR(Авто_Калькулятор!$E$12=$D$204,Авто_Калькулятор!$E$12=$E$204,Авто_Калькулятор!$E$12=$F$204,)),0.0299,
IF(AND(Авто_Калькулятор!$B$4=C207,OR(Авто_Калькулятор!$E$12=$G$204,Авто_Калькулятор!$E$12=$H$204,Авто_Калькулятор!$E$12=$I$204,Авто_Калькулятор!$E$12=$J$204)),0.0199,0))</f>
        <v>0</v>
      </c>
      <c r="L207" s="56"/>
      <c r="M207" s="58"/>
    </row>
    <row r="208" spans="1:13" x14ac:dyDescent="0.25">
      <c r="A208" s="312"/>
      <c r="B208" s="47">
        <f>IF(AND(Авто_Калькулятор!$B$4=C208,Авто_Калькулятор!$E$12=$D$129),D208,
IF(AND(Авто_Калькулятор!$B$4=C208,Авто_Калькулятор!$E$12=$E$129),E208,
IF(AND(Авто_Калькулятор!$B$4=C208,Авто_Калькулятор!$E$12=$F$129),F208,
IF(AND(Авто_Калькулятор!$B$4=C208,Авто_Калькулятор!$E$12=$G$129),G208,
IF(AND(Авто_Калькулятор!$B$4=C208,Авто_Калькулятор!$E$12=$H$129),H208,
IF(AND(Авто_Калькулятор!$B$4=C208,Авто_Калькулятор!$E$12=$I$129),I208,
IF(AND(Авто_Калькулятор!$B$4=C208,Авто_Калькулятор!$E$12=$J$129),J208,0)))))))</f>
        <v>0</v>
      </c>
      <c r="C208" s="76" t="s">
        <v>210</v>
      </c>
      <c r="D208" s="111">
        <v>9.39</v>
      </c>
      <c r="E208" s="111">
        <v>9.39</v>
      </c>
      <c r="F208" s="111">
        <v>9.39</v>
      </c>
      <c r="G208" s="111">
        <v>9.89</v>
      </c>
      <c r="H208" s="111">
        <v>10.39</v>
      </c>
      <c r="I208" s="111">
        <v>11.39</v>
      </c>
      <c r="J208" s="111">
        <v>12.389999999999999</v>
      </c>
      <c r="K208" s="70">
        <f>IF(AND(Авто_Калькулятор!$B$4=C208, OR(Авто_Калькулятор!$E$12=$D$204,Авто_Калькулятор!$E$12=$E$204,Авто_Калькулятор!$E$12=$F$204,)),0.0299,
IF(AND(Авто_Калькулятор!$B$4=C208,OR(Авто_Калькулятор!$E$12=$G$204,Авто_Калькулятор!$E$12=$H$204,Авто_Калькулятор!$E$12=$I$204,Авто_Калькулятор!$E$12=$J$204)),0.0199,0))</f>
        <v>0</v>
      </c>
      <c r="L208" s="56"/>
      <c r="M208" s="58"/>
    </row>
    <row r="209" spans="1:13" ht="15.75" thickBot="1" x14ac:dyDescent="0.3">
      <c r="A209" s="312"/>
      <c r="B209" s="47">
        <f>IF(AND(Авто_Калькулятор!$B$4=C209,Авто_Калькулятор!$E$12=$D$129),D209,
IF(AND(Авто_Калькулятор!$B$4=C209,Авто_Калькулятор!$E$12=$E$129),E209,
IF(AND(Авто_Калькулятор!$B$4=C209,Авто_Калькулятор!$E$12=$F$129),F209,
IF(AND(Авто_Калькулятор!$B$4=C209,Авто_Калькулятор!$E$12=$G$129),G209,
IF(AND(Авто_Калькулятор!$B$4=C209,Авто_Калькулятор!$E$12=$H$129),H209,
IF(AND(Авто_Калькулятор!$B$4=C209,Авто_Калькулятор!$E$12=$I$129),I209,
IF(AND(Авто_Калькулятор!$B$4=C209,Авто_Калькулятор!$E$12=$J$129),J209,0)))))))</f>
        <v>0</v>
      </c>
      <c r="C209" s="76" t="s">
        <v>211</v>
      </c>
      <c r="D209" s="111">
        <v>9.39</v>
      </c>
      <c r="E209" s="111">
        <v>9.39</v>
      </c>
      <c r="F209" s="111">
        <v>9.39</v>
      </c>
      <c r="G209" s="111">
        <v>9.39</v>
      </c>
      <c r="H209" s="111">
        <v>9.39</v>
      </c>
      <c r="I209" s="111">
        <v>10.89</v>
      </c>
      <c r="J209" s="111">
        <v>11.39</v>
      </c>
      <c r="K209" s="70">
        <f>IF(AND(Авто_Калькулятор!$B$4=C209, OR(Авто_Калькулятор!$E$12=$D$204,Авто_Калькулятор!$E$12=$E$204,Авто_Калькулятор!$E$12=$F$204,)),0.0299,
IF(AND(Авто_Калькулятор!$B$4=C209,OR(Авто_Калькулятор!$E$12=$G$204,Авто_Калькулятор!$E$12=$H$204,Авто_Калькулятор!$E$12=$I$204,Авто_Калькулятор!$E$12=$J$204)),0.0199,0))</f>
        <v>0</v>
      </c>
      <c r="L209" s="56"/>
      <c r="M209" s="58"/>
    </row>
    <row r="210" spans="1:13" ht="15.75" thickBot="1" x14ac:dyDescent="0.3">
      <c r="A210" s="313"/>
      <c r="B210" s="72">
        <f>SUM(B205:B209)</f>
        <v>0</v>
      </c>
      <c r="D210" s="11"/>
      <c r="E210" s="11"/>
      <c r="F210" s="11"/>
      <c r="G210" s="11"/>
      <c r="H210" s="11"/>
      <c r="I210" s="11"/>
      <c r="J210" s="11"/>
      <c r="K210" s="72">
        <f>SUM(K205:K209)</f>
        <v>0</v>
      </c>
      <c r="L210" s="60"/>
      <c r="M210" s="61"/>
    </row>
  </sheetData>
  <mergeCells count="29">
    <mergeCell ref="A204:A210"/>
    <mergeCell ref="A121:A128"/>
    <mergeCell ref="A64:A70"/>
    <mergeCell ref="A71:A78"/>
    <mergeCell ref="A23:A30"/>
    <mergeCell ref="A31:A38"/>
    <mergeCell ref="A39:A47"/>
    <mergeCell ref="A48:A54"/>
    <mergeCell ref="A55:A63"/>
    <mergeCell ref="A79:A86"/>
    <mergeCell ref="A87:A95"/>
    <mergeCell ref="A96:A104"/>
    <mergeCell ref="A105:A112"/>
    <mergeCell ref="A113:A120"/>
    <mergeCell ref="A198:A203"/>
    <mergeCell ref="A168:A176"/>
    <mergeCell ref="A20:A22"/>
    <mergeCell ref="B2:M2"/>
    <mergeCell ref="A1:M1"/>
    <mergeCell ref="A3:A10"/>
    <mergeCell ref="A11:A19"/>
    <mergeCell ref="A189:A197"/>
    <mergeCell ref="A180:A188"/>
    <mergeCell ref="A177:A179"/>
    <mergeCell ref="A129:A136"/>
    <mergeCell ref="A137:A144"/>
    <mergeCell ref="A145:A153"/>
    <mergeCell ref="A154:A159"/>
    <mergeCell ref="A160:A167"/>
  </mergeCells>
  <conditionalFormatting sqref="M3">
    <cfRule type="expression" dxfId="161" priority="167" stopIfTrue="1">
      <formula>$P$4=1</formula>
    </cfRule>
    <cfRule type="cellIs" dxfId="160" priority="168" stopIfTrue="1" operator="equal">
      <formula>"Авансовий платіж достатній"</formula>
    </cfRule>
  </conditionalFormatting>
  <conditionalFormatting sqref="M11">
    <cfRule type="expression" dxfId="159" priority="165" stopIfTrue="1">
      <formula>$P$4=1</formula>
    </cfRule>
    <cfRule type="cellIs" dxfId="158" priority="166" stopIfTrue="1" operator="equal">
      <formula>"Авансовий платіж достатній"</formula>
    </cfRule>
  </conditionalFormatting>
  <conditionalFormatting sqref="M20">
    <cfRule type="expression" dxfId="157" priority="163" stopIfTrue="1">
      <formula>$P$4=1</formula>
    </cfRule>
    <cfRule type="cellIs" dxfId="156" priority="164" stopIfTrue="1" operator="equal">
      <formula>"Авансовий платіж достатній"</formula>
    </cfRule>
  </conditionalFormatting>
  <conditionalFormatting sqref="M23">
    <cfRule type="expression" dxfId="155" priority="161" stopIfTrue="1">
      <formula>$P$4=1</formula>
    </cfRule>
    <cfRule type="cellIs" dxfId="154" priority="162" stopIfTrue="1" operator="equal">
      <formula>"Авансовий платіж достатній"</formula>
    </cfRule>
  </conditionalFormatting>
  <conditionalFormatting sqref="K63">
    <cfRule type="expression" dxfId="153" priority="121" stopIfTrue="1">
      <formula>$P$4=1</formula>
    </cfRule>
    <cfRule type="cellIs" dxfId="152" priority="122" stopIfTrue="1" operator="equal">
      <formula>"Авансовий платіж достатній"</formula>
    </cfRule>
  </conditionalFormatting>
  <conditionalFormatting sqref="M31">
    <cfRule type="expression" dxfId="151" priority="159" stopIfTrue="1">
      <formula>$P$4=1</formula>
    </cfRule>
    <cfRule type="cellIs" dxfId="150" priority="160" stopIfTrue="1" operator="equal">
      <formula>"Авансовий платіж достатній"</formula>
    </cfRule>
  </conditionalFormatting>
  <conditionalFormatting sqref="K70">
    <cfRule type="expression" dxfId="149" priority="115" stopIfTrue="1">
      <formula>$P$4=1</formula>
    </cfRule>
    <cfRule type="cellIs" dxfId="148" priority="116" stopIfTrue="1" operator="equal">
      <formula>"Авансовий платіж достатній"</formula>
    </cfRule>
  </conditionalFormatting>
  <conditionalFormatting sqref="K10">
    <cfRule type="expression" dxfId="147" priority="157" stopIfTrue="1">
      <formula>$P$4=1</formula>
    </cfRule>
    <cfRule type="cellIs" dxfId="146" priority="158" stopIfTrue="1" operator="equal">
      <formula>"Авансовий платіж достатній"</formula>
    </cfRule>
  </conditionalFormatting>
  <conditionalFormatting sqref="B10">
    <cfRule type="expression" dxfId="145" priority="155" stopIfTrue="1">
      <formula>$P$4=1</formula>
    </cfRule>
    <cfRule type="cellIs" dxfId="144" priority="156" stopIfTrue="1" operator="equal">
      <formula>"Авансовий платіж достатній"</formula>
    </cfRule>
  </conditionalFormatting>
  <conditionalFormatting sqref="B19">
    <cfRule type="expression" dxfId="143" priority="153" stopIfTrue="1">
      <formula>$P$4=1</formula>
    </cfRule>
    <cfRule type="cellIs" dxfId="142" priority="154" stopIfTrue="1" operator="equal">
      <formula>"Авансовий платіж достатній"</formula>
    </cfRule>
  </conditionalFormatting>
  <conditionalFormatting sqref="K19">
    <cfRule type="expression" dxfId="141" priority="151" stopIfTrue="1">
      <formula>$P$4=1</formula>
    </cfRule>
    <cfRule type="cellIs" dxfId="140" priority="152" stopIfTrue="1" operator="equal">
      <formula>"Авансовий платіж достатній"</formula>
    </cfRule>
  </conditionalFormatting>
  <conditionalFormatting sqref="B22">
    <cfRule type="expression" dxfId="139" priority="149" stopIfTrue="1">
      <formula>$P$4=1</formula>
    </cfRule>
    <cfRule type="cellIs" dxfId="138" priority="150" stopIfTrue="1" operator="equal">
      <formula>"Авансовий платіж достатній"</formula>
    </cfRule>
  </conditionalFormatting>
  <conditionalFormatting sqref="K22">
    <cfRule type="expression" dxfId="137" priority="147" stopIfTrue="1">
      <formula>$P$4=1</formula>
    </cfRule>
    <cfRule type="cellIs" dxfId="136" priority="148" stopIfTrue="1" operator="equal">
      <formula>"Авансовий платіж достатній"</formula>
    </cfRule>
  </conditionalFormatting>
  <conditionalFormatting sqref="K30">
    <cfRule type="expression" dxfId="135" priority="145" stopIfTrue="1">
      <formula>$P$4=1</formula>
    </cfRule>
    <cfRule type="cellIs" dxfId="134" priority="146" stopIfTrue="1" operator="equal">
      <formula>"Авансовий платіж достатній"</formula>
    </cfRule>
  </conditionalFormatting>
  <conditionalFormatting sqref="B30">
    <cfRule type="expression" dxfId="133" priority="143" stopIfTrue="1">
      <formula>$P$4=1</formula>
    </cfRule>
    <cfRule type="cellIs" dxfId="132" priority="144" stopIfTrue="1" operator="equal">
      <formula>"Авансовий платіж достатній"</formula>
    </cfRule>
  </conditionalFormatting>
  <conditionalFormatting sqref="B38">
    <cfRule type="expression" dxfId="131" priority="141" stopIfTrue="1">
      <formula>$P$4=1</formula>
    </cfRule>
    <cfRule type="cellIs" dxfId="130" priority="142" stopIfTrue="1" operator="equal">
      <formula>"Авансовий платіж достатній"</formula>
    </cfRule>
  </conditionalFormatting>
  <conditionalFormatting sqref="K38">
    <cfRule type="expression" dxfId="129" priority="139" stopIfTrue="1">
      <formula>$P$4=1</formula>
    </cfRule>
    <cfRule type="cellIs" dxfId="128" priority="140" stopIfTrue="1" operator="equal">
      <formula>"Авансовий платіж достатній"</formula>
    </cfRule>
  </conditionalFormatting>
  <conditionalFormatting sqref="M39">
    <cfRule type="expression" dxfId="127" priority="137" stopIfTrue="1">
      <formula>$P$4=1</formula>
    </cfRule>
    <cfRule type="cellIs" dxfId="126" priority="138" stopIfTrue="1" operator="equal">
      <formula>"Авансовий платіж достатній"</formula>
    </cfRule>
  </conditionalFormatting>
  <conditionalFormatting sqref="B47">
    <cfRule type="expression" dxfId="125" priority="135" stopIfTrue="1">
      <formula>$P$4=1</formula>
    </cfRule>
    <cfRule type="cellIs" dxfId="124" priority="136" stopIfTrue="1" operator="equal">
      <formula>"Авансовий платіж достатній"</formula>
    </cfRule>
  </conditionalFormatting>
  <conditionalFormatting sqref="K47">
    <cfRule type="expression" dxfId="123" priority="133" stopIfTrue="1">
      <formula>$P$4=1</formula>
    </cfRule>
    <cfRule type="cellIs" dxfId="122" priority="134" stopIfTrue="1" operator="equal">
      <formula>"Авансовий платіж достатній"</formula>
    </cfRule>
  </conditionalFormatting>
  <conditionalFormatting sqref="M48">
    <cfRule type="expression" dxfId="121" priority="131" stopIfTrue="1">
      <formula>$P$4=1</formula>
    </cfRule>
    <cfRule type="cellIs" dxfId="120" priority="132" stopIfTrue="1" operator="equal">
      <formula>"Авансовий платіж достатній"</formula>
    </cfRule>
  </conditionalFormatting>
  <conditionalFormatting sqref="B54">
    <cfRule type="expression" dxfId="119" priority="129" stopIfTrue="1">
      <formula>$P$4=1</formula>
    </cfRule>
    <cfRule type="cellIs" dxfId="118" priority="130" stopIfTrue="1" operator="equal">
      <formula>"Авансовий платіж достатній"</formula>
    </cfRule>
  </conditionalFormatting>
  <conditionalFormatting sqref="K54">
    <cfRule type="expression" dxfId="117" priority="127" stopIfTrue="1">
      <formula>$P$4=1</formula>
    </cfRule>
    <cfRule type="cellIs" dxfId="116" priority="128" stopIfTrue="1" operator="equal">
      <formula>"Авансовий платіж достатній"</formula>
    </cfRule>
  </conditionalFormatting>
  <conditionalFormatting sqref="M55">
    <cfRule type="expression" dxfId="115" priority="125" stopIfTrue="1">
      <formula>$P$4=1</formula>
    </cfRule>
    <cfRule type="cellIs" dxfId="114" priority="126" stopIfTrue="1" operator="equal">
      <formula>"Авансовий платіж достатній"</formula>
    </cfRule>
  </conditionalFormatting>
  <conditionalFormatting sqref="B63">
    <cfRule type="expression" dxfId="113" priority="123" stopIfTrue="1">
      <formula>$P$4=1</formula>
    </cfRule>
    <cfRule type="cellIs" dxfId="112" priority="124" stopIfTrue="1" operator="equal">
      <formula>"Авансовий платіж достатній"</formula>
    </cfRule>
  </conditionalFormatting>
  <conditionalFormatting sqref="M64">
    <cfRule type="expression" dxfId="111" priority="119" stopIfTrue="1">
      <formula>$P$4=1</formula>
    </cfRule>
    <cfRule type="cellIs" dxfId="110" priority="120" stopIfTrue="1" operator="equal">
      <formula>"Авансовий платіж достатній"</formula>
    </cfRule>
  </conditionalFormatting>
  <conditionalFormatting sqref="B70">
    <cfRule type="expression" dxfId="109" priority="117" stopIfTrue="1">
      <formula>$P$4=1</formula>
    </cfRule>
    <cfRule type="cellIs" dxfId="108" priority="118" stopIfTrue="1" operator="equal">
      <formula>"Авансовий платіж достатній"</formula>
    </cfRule>
  </conditionalFormatting>
  <conditionalFormatting sqref="M71">
    <cfRule type="expression" dxfId="107" priority="113" stopIfTrue="1">
      <formula>$P$4=1</formula>
    </cfRule>
    <cfRule type="cellIs" dxfId="106" priority="114" stopIfTrue="1" operator="equal">
      <formula>"Авансовий платіж достатній"</formula>
    </cfRule>
  </conditionalFormatting>
  <conditionalFormatting sqref="B78">
    <cfRule type="expression" dxfId="105" priority="111" stopIfTrue="1">
      <formula>$P$4=1</formula>
    </cfRule>
    <cfRule type="cellIs" dxfId="104" priority="112" stopIfTrue="1" operator="equal">
      <formula>"Авансовий платіж достатній"</formula>
    </cfRule>
  </conditionalFormatting>
  <conditionalFormatting sqref="K78">
    <cfRule type="expression" dxfId="103" priority="109" stopIfTrue="1">
      <formula>$P$4=1</formula>
    </cfRule>
    <cfRule type="cellIs" dxfId="102" priority="110" stopIfTrue="1" operator="equal">
      <formula>"Авансовий платіж достатній"</formula>
    </cfRule>
  </conditionalFormatting>
  <conditionalFormatting sqref="M79">
    <cfRule type="expression" dxfId="101" priority="107" stopIfTrue="1">
      <formula>$P$4=1</formula>
    </cfRule>
    <cfRule type="cellIs" dxfId="100" priority="108" stopIfTrue="1" operator="equal">
      <formula>"Авансовий платіж достатній"</formula>
    </cfRule>
  </conditionalFormatting>
  <conditionalFormatting sqref="B86">
    <cfRule type="expression" dxfId="99" priority="105" stopIfTrue="1">
      <formula>$P$4=1</formula>
    </cfRule>
    <cfRule type="cellIs" dxfId="98" priority="106" stopIfTrue="1" operator="equal">
      <formula>"Авансовий платіж достатній"</formula>
    </cfRule>
  </conditionalFormatting>
  <conditionalFormatting sqref="K86">
    <cfRule type="expression" dxfId="97" priority="103" stopIfTrue="1">
      <formula>$P$4=1</formula>
    </cfRule>
    <cfRule type="cellIs" dxfId="96" priority="104" stopIfTrue="1" operator="equal">
      <formula>"Авансовий платіж достатній"</formula>
    </cfRule>
  </conditionalFormatting>
  <conditionalFormatting sqref="K95">
    <cfRule type="expression" dxfId="95" priority="97" stopIfTrue="1">
      <formula>$P$4=1</formula>
    </cfRule>
    <cfRule type="cellIs" dxfId="94" priority="98" stopIfTrue="1" operator="equal">
      <formula>"Авансовий платіж достатній"</formula>
    </cfRule>
  </conditionalFormatting>
  <conditionalFormatting sqref="M87">
    <cfRule type="expression" dxfId="93" priority="101" stopIfTrue="1">
      <formula>$P$4=1</formula>
    </cfRule>
    <cfRule type="cellIs" dxfId="92" priority="102" stopIfTrue="1" operator="equal">
      <formula>"Авансовий платіж достатній"</formula>
    </cfRule>
  </conditionalFormatting>
  <conditionalFormatting sqref="B95">
    <cfRule type="expression" dxfId="91" priority="99" stopIfTrue="1">
      <formula>$P$4=1</formula>
    </cfRule>
    <cfRule type="cellIs" dxfId="90" priority="100" stopIfTrue="1" operator="equal">
      <formula>"Авансовий платіж достатній"</formula>
    </cfRule>
  </conditionalFormatting>
  <conditionalFormatting sqref="K104">
    <cfRule type="expression" dxfId="89" priority="91" stopIfTrue="1">
      <formula>$P$4=1</formula>
    </cfRule>
    <cfRule type="cellIs" dxfId="88" priority="92" stopIfTrue="1" operator="equal">
      <formula>"Авансовий платіж достатній"</formula>
    </cfRule>
  </conditionalFormatting>
  <conditionalFormatting sqref="M96">
    <cfRule type="expression" dxfId="87" priority="95" stopIfTrue="1">
      <formula>$P$4=1</formula>
    </cfRule>
    <cfRule type="cellIs" dxfId="86" priority="96" stopIfTrue="1" operator="equal">
      <formula>"Авансовий платіж достатній"</formula>
    </cfRule>
  </conditionalFormatting>
  <conditionalFormatting sqref="B104">
    <cfRule type="expression" dxfId="85" priority="93" stopIfTrue="1">
      <formula>$P$4=1</formula>
    </cfRule>
    <cfRule type="cellIs" dxfId="84" priority="94" stopIfTrue="1" operator="equal">
      <formula>"Авансовий платіж достатній"</formula>
    </cfRule>
  </conditionalFormatting>
  <conditionalFormatting sqref="M105">
    <cfRule type="expression" dxfId="83" priority="89" stopIfTrue="1">
      <formula>$P$4=1</formula>
    </cfRule>
    <cfRule type="cellIs" dxfId="82" priority="90" stopIfTrue="1" operator="equal">
      <formula>"Авансовий платіж достатній"</formula>
    </cfRule>
  </conditionalFormatting>
  <conditionalFormatting sqref="B112">
    <cfRule type="expression" dxfId="81" priority="87" stopIfTrue="1">
      <formula>$P$4=1</formula>
    </cfRule>
    <cfRule type="cellIs" dxfId="80" priority="88" stopIfTrue="1" operator="equal">
      <formula>"Авансовий платіж достатній"</formula>
    </cfRule>
  </conditionalFormatting>
  <conditionalFormatting sqref="K112">
    <cfRule type="expression" dxfId="79" priority="85" stopIfTrue="1">
      <formula>$P$4=1</formula>
    </cfRule>
    <cfRule type="cellIs" dxfId="78" priority="86" stopIfTrue="1" operator="equal">
      <formula>"Авансовий платіж достатній"</formula>
    </cfRule>
  </conditionalFormatting>
  <conditionalFormatting sqref="M113">
    <cfRule type="expression" dxfId="77" priority="83" stopIfTrue="1">
      <formula>$P$4=1</formula>
    </cfRule>
    <cfRule type="cellIs" dxfId="76" priority="84" stopIfTrue="1" operator="equal">
      <formula>"Авансовий платіж достатній"</formula>
    </cfRule>
  </conditionalFormatting>
  <conditionalFormatting sqref="B120">
    <cfRule type="expression" dxfId="75" priority="81" stopIfTrue="1">
      <formula>$P$4=1</formula>
    </cfRule>
    <cfRule type="cellIs" dxfId="74" priority="82" stopIfTrue="1" operator="equal">
      <formula>"Авансовий платіж достатній"</formula>
    </cfRule>
  </conditionalFormatting>
  <conditionalFormatting sqref="K120">
    <cfRule type="expression" dxfId="73" priority="79" stopIfTrue="1">
      <formula>$P$4=1</formula>
    </cfRule>
    <cfRule type="cellIs" dxfId="72" priority="80" stopIfTrue="1" operator="equal">
      <formula>"Авансовий платіж достатній"</formula>
    </cfRule>
  </conditionalFormatting>
  <conditionalFormatting sqref="M121">
    <cfRule type="expression" dxfId="71" priority="77" stopIfTrue="1">
      <formula>$P$4=1</formula>
    </cfRule>
    <cfRule type="cellIs" dxfId="70" priority="78" stopIfTrue="1" operator="equal">
      <formula>"Авансовий платіж достатній"</formula>
    </cfRule>
  </conditionalFormatting>
  <conditionalFormatting sqref="B128">
    <cfRule type="expression" dxfId="69" priority="75" stopIfTrue="1">
      <formula>$P$4=1</formula>
    </cfRule>
    <cfRule type="cellIs" dxfId="68" priority="76" stopIfTrue="1" operator="equal">
      <formula>"Авансовий платіж достатній"</formula>
    </cfRule>
  </conditionalFormatting>
  <conditionalFormatting sqref="K128">
    <cfRule type="expression" dxfId="67" priority="73" stopIfTrue="1">
      <formula>$P$4=1</formula>
    </cfRule>
    <cfRule type="cellIs" dxfId="66" priority="74" stopIfTrue="1" operator="equal">
      <formula>"Авансовий платіж достатній"</formula>
    </cfRule>
  </conditionalFormatting>
  <conditionalFormatting sqref="K136">
    <cfRule type="expression" dxfId="65" priority="67" stopIfTrue="1">
      <formula>$P$4=1</formula>
    </cfRule>
    <cfRule type="cellIs" dxfId="64" priority="68" stopIfTrue="1" operator="equal">
      <formula>"Авансовий платіж достатній"</formula>
    </cfRule>
  </conditionalFormatting>
  <conditionalFormatting sqref="M129">
    <cfRule type="expression" dxfId="63" priority="71" stopIfTrue="1">
      <formula>$P$4=1</formula>
    </cfRule>
    <cfRule type="cellIs" dxfId="62" priority="72" stopIfTrue="1" operator="equal">
      <formula>"Авансовий платіж достатній"</formula>
    </cfRule>
  </conditionalFormatting>
  <conditionalFormatting sqref="B136">
    <cfRule type="expression" dxfId="61" priority="69" stopIfTrue="1">
      <formula>$P$4=1</formula>
    </cfRule>
    <cfRule type="cellIs" dxfId="60" priority="70" stopIfTrue="1" operator="equal">
      <formula>"Авансовий платіж достатній"</formula>
    </cfRule>
  </conditionalFormatting>
  <conditionalFormatting sqref="M137">
    <cfRule type="expression" dxfId="59" priority="65" stopIfTrue="1">
      <formula>$P$4=1</formula>
    </cfRule>
    <cfRule type="cellIs" dxfId="58" priority="66" stopIfTrue="1" operator="equal">
      <formula>"Авансовий платіж достатній"</formula>
    </cfRule>
  </conditionalFormatting>
  <conditionalFormatting sqref="B144">
    <cfRule type="expression" dxfId="57" priority="63" stopIfTrue="1">
      <formula>$P$4=1</formula>
    </cfRule>
    <cfRule type="cellIs" dxfId="56" priority="64" stopIfTrue="1" operator="equal">
      <formula>"Авансовий платіж достатній"</formula>
    </cfRule>
  </conditionalFormatting>
  <conditionalFormatting sqref="K144">
    <cfRule type="expression" dxfId="55" priority="61" stopIfTrue="1">
      <formula>$P$4=1</formula>
    </cfRule>
    <cfRule type="cellIs" dxfId="54" priority="62" stopIfTrue="1" operator="equal">
      <formula>"Авансовий платіж достатній"</formula>
    </cfRule>
  </conditionalFormatting>
  <conditionalFormatting sqref="M145">
    <cfRule type="expression" dxfId="53" priority="53" stopIfTrue="1">
      <formula>$P$4=1</formula>
    </cfRule>
    <cfRule type="cellIs" dxfId="52" priority="54" stopIfTrue="1" operator="equal">
      <formula>"Авансовий платіж достатній"</formula>
    </cfRule>
  </conditionalFormatting>
  <conditionalFormatting sqref="B153">
    <cfRule type="expression" dxfId="51" priority="51" stopIfTrue="1">
      <formula>$P$4=1</formula>
    </cfRule>
    <cfRule type="cellIs" dxfId="50" priority="52" stopIfTrue="1" operator="equal">
      <formula>"Авансовий платіж достатній"</formula>
    </cfRule>
  </conditionalFormatting>
  <conditionalFormatting sqref="K153">
    <cfRule type="expression" dxfId="49" priority="49" stopIfTrue="1">
      <formula>$P$4=1</formula>
    </cfRule>
    <cfRule type="cellIs" dxfId="48" priority="50" stopIfTrue="1" operator="equal">
      <formula>"Авансовий платіж достатній"</formula>
    </cfRule>
  </conditionalFormatting>
  <conditionalFormatting sqref="K159">
    <cfRule type="expression" dxfId="47" priority="43" stopIfTrue="1">
      <formula>$P$4=1</formula>
    </cfRule>
    <cfRule type="cellIs" dxfId="46" priority="44" stopIfTrue="1" operator="equal">
      <formula>"Авансовий платіж достатній"</formula>
    </cfRule>
  </conditionalFormatting>
  <conditionalFormatting sqref="M154">
    <cfRule type="expression" dxfId="45" priority="47" stopIfTrue="1">
      <formula>$P$4=1</formula>
    </cfRule>
    <cfRule type="cellIs" dxfId="44" priority="48" stopIfTrue="1" operator="equal">
      <formula>"Авансовий платіж достатній"</formula>
    </cfRule>
  </conditionalFormatting>
  <conditionalFormatting sqref="B159">
    <cfRule type="expression" dxfId="43" priority="45" stopIfTrue="1">
      <formula>$P$4=1</formula>
    </cfRule>
    <cfRule type="cellIs" dxfId="42" priority="46" stopIfTrue="1" operator="equal">
      <formula>"Авансовий платіж достатній"</formula>
    </cfRule>
  </conditionalFormatting>
  <conditionalFormatting sqref="K167">
    <cfRule type="expression" dxfId="41" priority="37" stopIfTrue="1">
      <formula>$P$4=1</formula>
    </cfRule>
    <cfRule type="cellIs" dxfId="40" priority="38" stopIfTrue="1" operator="equal">
      <formula>"Авансовий платіж достатній"</formula>
    </cfRule>
  </conditionalFormatting>
  <conditionalFormatting sqref="M160">
    <cfRule type="expression" dxfId="39" priority="41" stopIfTrue="1">
      <formula>$P$4=1</formula>
    </cfRule>
    <cfRule type="cellIs" dxfId="38" priority="42" stopIfTrue="1" operator="equal">
      <formula>"Авансовий платіж достатній"</formula>
    </cfRule>
  </conditionalFormatting>
  <conditionalFormatting sqref="B167">
    <cfRule type="expression" dxfId="37" priority="39" stopIfTrue="1">
      <formula>$P$4=1</formula>
    </cfRule>
    <cfRule type="cellIs" dxfId="36" priority="40" stopIfTrue="1" operator="equal">
      <formula>"Авансовий платіж достатній"</formula>
    </cfRule>
  </conditionalFormatting>
  <conditionalFormatting sqref="K176">
    <cfRule type="expression" dxfId="35" priority="31" stopIfTrue="1">
      <formula>$P$4=1</formula>
    </cfRule>
    <cfRule type="cellIs" dxfId="34" priority="32" stopIfTrue="1" operator="equal">
      <formula>"Авансовий платіж достатній"</formula>
    </cfRule>
  </conditionalFormatting>
  <conditionalFormatting sqref="M168">
    <cfRule type="expression" dxfId="33" priority="35" stopIfTrue="1">
      <formula>$P$4=1</formula>
    </cfRule>
    <cfRule type="cellIs" dxfId="32" priority="36" stopIfTrue="1" operator="equal">
      <formula>"Авансовий платіж достатній"</formula>
    </cfRule>
  </conditionalFormatting>
  <conditionalFormatting sqref="B176">
    <cfRule type="expression" dxfId="31" priority="33" stopIfTrue="1">
      <formula>$P$4=1</formula>
    </cfRule>
    <cfRule type="cellIs" dxfId="30" priority="34" stopIfTrue="1" operator="equal">
      <formula>"Авансовий платіж достатній"</formula>
    </cfRule>
  </conditionalFormatting>
  <conditionalFormatting sqref="M177">
    <cfRule type="expression" dxfId="29" priority="29" stopIfTrue="1">
      <formula>$P$4=1</formula>
    </cfRule>
    <cfRule type="cellIs" dxfId="28" priority="30" stopIfTrue="1" operator="equal">
      <formula>"Авансовий платіж достатній"</formula>
    </cfRule>
  </conditionalFormatting>
  <conditionalFormatting sqref="B179">
    <cfRule type="expression" dxfId="27" priority="27" stopIfTrue="1">
      <formula>$P$4=1</formula>
    </cfRule>
    <cfRule type="cellIs" dxfId="26" priority="28" stopIfTrue="1" operator="equal">
      <formula>"Авансовий платіж достатній"</formula>
    </cfRule>
  </conditionalFormatting>
  <conditionalFormatting sqref="K179">
    <cfRule type="expression" dxfId="25" priority="25" stopIfTrue="1">
      <formula>$P$4=1</formula>
    </cfRule>
    <cfRule type="cellIs" dxfId="24" priority="26" stopIfTrue="1" operator="equal">
      <formula>"Авансовий платіж достатній"</formula>
    </cfRule>
  </conditionalFormatting>
  <conditionalFormatting sqref="K188">
    <cfRule type="expression" dxfId="23" priority="19" stopIfTrue="1">
      <formula>$P$4=1</formula>
    </cfRule>
    <cfRule type="cellIs" dxfId="22" priority="20" stopIfTrue="1" operator="equal">
      <formula>"Авансовий платіж достатній"</formula>
    </cfRule>
  </conditionalFormatting>
  <conditionalFormatting sqref="M180">
    <cfRule type="expression" dxfId="21" priority="23" stopIfTrue="1">
      <formula>$P$4=1</formula>
    </cfRule>
    <cfRule type="cellIs" dxfId="20" priority="24" stopIfTrue="1" operator="equal">
      <formula>"Авансовий платіж достатній"</formula>
    </cfRule>
  </conditionalFormatting>
  <conditionalFormatting sqref="B188">
    <cfRule type="expression" dxfId="19" priority="21" stopIfTrue="1">
      <formula>$P$4=1</formula>
    </cfRule>
    <cfRule type="cellIs" dxfId="18" priority="22" stopIfTrue="1" operator="equal">
      <formula>"Авансовий платіж достатній"</formula>
    </cfRule>
  </conditionalFormatting>
  <conditionalFormatting sqref="K197">
    <cfRule type="expression" dxfId="17" priority="13" stopIfTrue="1">
      <formula>$P$4=1</formula>
    </cfRule>
    <cfRule type="cellIs" dxfId="16" priority="14" stopIfTrue="1" operator="equal">
      <formula>"Авансовий платіж достатній"</formula>
    </cfRule>
  </conditionalFormatting>
  <conditionalFormatting sqref="M189">
    <cfRule type="expression" dxfId="15" priority="17" stopIfTrue="1">
      <formula>$P$4=1</formula>
    </cfRule>
    <cfRule type="cellIs" dxfId="14" priority="18" stopIfTrue="1" operator="equal">
      <formula>"Авансовий платіж достатній"</formula>
    </cfRule>
  </conditionalFormatting>
  <conditionalFormatting sqref="B197">
    <cfRule type="expression" dxfId="13" priority="15" stopIfTrue="1">
      <formula>$P$4=1</formula>
    </cfRule>
    <cfRule type="cellIs" dxfId="12" priority="16" stopIfTrue="1" operator="equal">
      <formula>"Авансовий платіж достатній"</formula>
    </cfRule>
  </conditionalFormatting>
  <conditionalFormatting sqref="K203">
    <cfRule type="expression" dxfId="11" priority="7" stopIfTrue="1">
      <formula>$P$4=1</formula>
    </cfRule>
    <cfRule type="cellIs" dxfId="10" priority="8" stopIfTrue="1" operator="equal">
      <formula>"Авансовий платіж достатній"</formula>
    </cfRule>
  </conditionalFormatting>
  <conditionalFormatting sqref="M198">
    <cfRule type="expression" dxfId="9" priority="11" stopIfTrue="1">
      <formula>$P$4=1</formula>
    </cfRule>
    <cfRule type="cellIs" dxfId="8" priority="12" stopIfTrue="1" operator="equal">
      <formula>"Авансовий платіж достатній"</formula>
    </cfRule>
  </conditionalFormatting>
  <conditionalFormatting sqref="B203">
    <cfRule type="expression" dxfId="7" priority="9" stopIfTrue="1">
      <formula>$P$4=1</formula>
    </cfRule>
    <cfRule type="cellIs" dxfId="6" priority="10" stopIfTrue="1" operator="equal">
      <formula>"Авансовий платіж достатній"</formula>
    </cfRule>
  </conditionalFormatting>
  <conditionalFormatting sqref="K210">
    <cfRule type="expression" dxfId="5" priority="1" stopIfTrue="1">
      <formula>$P$4=1</formula>
    </cfRule>
    <cfRule type="cellIs" dxfId="4" priority="2" stopIfTrue="1" operator="equal">
      <formula>"Авансовий платіж достатній"</formula>
    </cfRule>
  </conditionalFormatting>
  <conditionalFormatting sqref="M204">
    <cfRule type="expression" dxfId="3" priority="5" stopIfTrue="1">
      <formula>$P$4=1</formula>
    </cfRule>
    <cfRule type="cellIs" dxfId="2" priority="6" stopIfTrue="1" operator="equal">
      <formula>"Авансовий платіж достатній"</formula>
    </cfRule>
  </conditionalFormatting>
  <conditionalFormatting sqref="B210">
    <cfRule type="expression" dxfId="1" priority="3" stopIfTrue="1">
      <formula>$P$4=1</formula>
    </cfRule>
    <cfRule type="cellIs" dxfId="0" priority="4" stopIfTrue="1" operator="equal">
      <formula>"Авансовий платіж достатній"</formula>
    </cfRule>
  </conditionalFormatting>
  <dataValidations count="1">
    <dataValidation operator="greaterThan" allowBlank="1" showInputMessage="1" showErrorMessage="1" sqref="M3 M11 M20 M23 M31 M39 M48 M55 M64 M71 M79 M87 M96 M105 M113 M121 M129 M137 M145 M154 M160 M168 M177 M180 M189 M198 M204" xr:uid="{00000000-0002-0000-0100-000000000000}"/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C4B73E2C7FC49ABE0A13AA3FD1FD1" ma:contentTypeVersion="13" ma:contentTypeDescription="Створення нового документа." ma:contentTypeScope="" ma:versionID="1ea9b40d153f0bf98d6b3a26dfcac078">
  <xsd:schema xmlns:xsd="http://www.w3.org/2001/XMLSchema" xmlns:xs="http://www.w3.org/2001/XMLSchema" xmlns:p="http://schemas.microsoft.com/office/2006/metadata/properties" xmlns:ns1="http://schemas.microsoft.com/sharepoint/v3" xmlns:ns3="645d714b-9af7-44eb-a251-10865a9aa93f" xmlns:ns4="ef727bfb-132f-4ded-902e-6f66cb180058" targetNamespace="http://schemas.microsoft.com/office/2006/metadata/properties" ma:root="true" ma:fieldsID="1ab64b9d2c8082bae472c05d2444733c" ns1:_="" ns3:_="" ns4:_="">
    <xsd:import namespace="http://schemas.microsoft.com/sharepoint/v3"/>
    <xsd:import namespace="645d714b-9af7-44eb-a251-10865a9aa93f"/>
    <xsd:import namespace="ef727bfb-132f-4ded-902e-6f66cb18005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Властивості уніфікованої політики відповідності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Дія з інтерфейсом користувача в уніфікованій політиці відповідності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d714b-9af7-44eb-a251-10865a9a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7bfb-132f-4ded-902e-6f66cb1800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Геш підказки про спільний доступ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38F618-D692-4067-9B90-6813D6E32EFE}">
  <ds:schemaRefs>
    <ds:schemaRef ds:uri="645d714b-9af7-44eb-a251-10865a9aa93f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ef727bfb-132f-4ded-902e-6f66cb180058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AC34AE9-A6C9-4847-8E2D-DD3C0B053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45d714b-9af7-44eb-a251-10865a9aa93f"/>
    <ds:schemaRef ds:uri="ef727bfb-132f-4ded-902e-6f66cb1800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CD9F24-3C49-40C9-80C5-A88D8C2460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Авто_Калькулятор</vt:lpstr>
      <vt:lpstr>Аркуш1</vt:lpstr>
      <vt:lpstr>Авто_Калькулятор!Область_друку</vt:lpstr>
    </vt:vector>
  </TitlesOfParts>
  <Company>BEST_XP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Кузьо Ростислав Ігорович</dc:creator>
  <cp:lastModifiedBy>Кузьо Ростислав Ігорович</cp:lastModifiedBy>
  <cp:lastPrinted>2020-07-07T15:10:14Z</cp:lastPrinted>
  <dcterms:created xsi:type="dcterms:W3CDTF">2011-10-24T15:00:12Z</dcterms:created>
  <dcterms:modified xsi:type="dcterms:W3CDTF">2021-11-11T08:11:33Z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0x0101009B6C4B73E2C7FC49ABE0A13AA3FD1FD1</vt:lpwstr>
  </property>
</Properties>
</file>