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сайт/2026/"/>
    </mc:Choice>
  </mc:AlternateContent>
  <xr:revisionPtr revIDLastSave="3" documentId="8_{3FDEA4B8-E0CD-4244-9417-ACF1971234DD}" xr6:coauthVersionLast="47" xr6:coauthVersionMax="47" xr10:uidLastSave="{57AA1671-0692-412F-8966-76F247DB0551}"/>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11" l="1"/>
  <c r="B108" i="11"/>
  <c r="B36" i="11"/>
  <c r="B37" i="11" l="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Z28" i="11"/>
  <c r="Z16" i="11"/>
  <c r="B40" i="11"/>
  <c r="N8" i="9"/>
  <c r="G4" i="9"/>
  <c r="S33" i="11"/>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S16" i="11" l="1"/>
  <c r="B42" i="1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Q43" i="9" s="1"/>
  <c r="AX40" i="11"/>
  <c r="AX52" i="11"/>
  <c r="AX76" i="11"/>
  <c r="AX16" i="11"/>
  <c r="AX28" i="11"/>
  <c r="AX64" i="11"/>
  <c r="B44" i="11" l="1"/>
  <c r="Q42" i="9"/>
  <c r="AX2" i="11"/>
  <c r="AB32" i="11"/>
  <c r="B45" i="11" l="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Z40" i="1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Z52" i="1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Z64" i="1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76" i="11"/>
  <c r="Z3" i="11" s="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Q40" i="9" l="1"/>
  <c r="N6" i="9" s="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AN4" i="11" l="1"/>
  <c r="R37" i="11" l="1"/>
  <c r="N6" i="11" s="1"/>
  <c r="P2" i="11" l="1"/>
  <c r="E21" i="11" s="1"/>
  <c r="R16" i="11"/>
  <c r="Q53" i="11" l="1"/>
  <c r="R9" i="11"/>
  <c r="Q50" i="11" l="1"/>
  <c r="Q49" i="11" s="1"/>
  <c r="Q48" i="11" s="1"/>
  <c r="Q47" i="11" l="1"/>
  <c r="N2"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E60" i="11" s="1"/>
  <c r="AE56" i="11"/>
  <c r="D76" i="11" s="1"/>
  <c r="AG32" i="11"/>
  <c r="E52" i="11" s="1"/>
  <c r="AE47" i="11"/>
  <c r="D67" i="11" s="1"/>
  <c r="AE33" i="11"/>
  <c r="D53" i="11" s="1"/>
  <c r="AE46" i="11"/>
  <c r="D66" i="11" s="1"/>
  <c r="AE17" i="11"/>
  <c r="D37" i="11" s="1"/>
  <c r="AG28" i="11"/>
  <c r="E48" i="11" s="1"/>
  <c r="E4" i="7"/>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D60" i="11" s="1"/>
  <c r="AG11" i="11"/>
  <c r="E31" i="11" s="1"/>
  <c r="AG24" i="11"/>
  <c r="E44" i="11" s="1"/>
  <c r="AE53" i="11"/>
  <c r="D73" i="11" s="1"/>
  <c r="AE30" i="11"/>
  <c r="D50" i="11" s="1"/>
  <c r="AE29" i="11"/>
  <c r="D49" i="11" s="1"/>
  <c r="O4" i="7"/>
  <c r="B2" i="7"/>
  <c r="AE21" i="11"/>
  <c r="D41" i="11" s="1"/>
  <c r="AE11" i="11"/>
  <c r="D31" i="11" s="1"/>
  <c r="AE44" i="11"/>
  <c r="D64" i="11" s="1"/>
  <c r="AG23" i="1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AE36" i="11"/>
  <c r="D56" i="11" s="1"/>
  <c r="AG50" i="11"/>
  <c r="AI50" i="11" s="1"/>
  <c r="AG37" i="11"/>
  <c r="E57" i="11" s="1"/>
  <c r="AG48" i="11"/>
  <c r="E68" i="11" s="1"/>
  <c r="AG54" i="11"/>
  <c r="AE26" i="11"/>
  <c r="D46" i="11" s="1"/>
  <c r="AG33" i="11"/>
  <c r="E53" i="11" s="1"/>
  <c r="AG45" i="11"/>
  <c r="E65" i="11" s="1"/>
  <c r="AE57" i="11"/>
  <c r="D77" i="11" s="1"/>
  <c r="AG59" i="11"/>
  <c r="AG17" i="11"/>
  <c r="E37" i="11" s="1"/>
  <c r="D24" i="11"/>
  <c r="C1" i="7"/>
  <c r="C6" i="7" s="1"/>
  <c r="L6"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38" i="7"/>
  <c r="L46" i="7"/>
  <c r="L40" i="7"/>
  <c r="L82" i="7"/>
  <c r="E79" i="11"/>
  <c r="AI80" i="11"/>
  <c r="AA80" i="11" s="1"/>
  <c r="AI82" i="11"/>
  <c r="AU82" i="11" s="1"/>
  <c r="AI44" i="11"/>
  <c r="AA44" i="11" s="1"/>
  <c r="L59" i="7"/>
  <c r="L88" i="7"/>
  <c r="E46" i="11"/>
  <c r="AI87" i="11"/>
  <c r="AU87" i="11" s="1"/>
  <c r="L69" i="7"/>
  <c r="AI79" i="11"/>
  <c r="G99" i="11" s="1"/>
  <c r="L42" i="7"/>
  <c r="L21" i="7"/>
  <c r="E72" i="11"/>
  <c r="AI77" i="11"/>
  <c r="G97" i="11" s="1"/>
  <c r="L68" i="7"/>
  <c r="L11" i="7"/>
  <c r="AI67" i="11"/>
  <c r="AU67" i="11" s="1"/>
  <c r="L5" i="7"/>
  <c r="E70" i="11"/>
  <c r="E43" i="11"/>
  <c r="AI72" i="11"/>
  <c r="AU72" i="11" s="1"/>
  <c r="L33" i="7"/>
  <c r="L17" i="7"/>
  <c r="AI64" i="11"/>
  <c r="AA64" i="11" s="1"/>
  <c r="L56" i="7"/>
  <c r="L26" i="7"/>
  <c r="L39" i="7"/>
  <c r="L58" i="7"/>
  <c r="L34" i="7"/>
  <c r="L83" i="7"/>
  <c r="AI58" i="11"/>
  <c r="G78" i="11" s="1"/>
  <c r="L16" i="7"/>
  <c r="AI75" i="11"/>
  <c r="G95" i="11" s="1"/>
  <c r="L45" i="7"/>
  <c r="L55" i="7"/>
  <c r="L15" i="7"/>
  <c r="L54" i="7"/>
  <c r="AI74" i="11"/>
  <c r="G94" i="11" s="1"/>
  <c r="AI86" i="11"/>
  <c r="AA86" i="11" s="1"/>
  <c r="L41" i="7"/>
  <c r="L8" i="7"/>
  <c r="L36" i="7"/>
  <c r="L63" i="7"/>
  <c r="L25" i="7"/>
  <c r="AI48" i="11"/>
  <c r="AU48" i="11" s="1"/>
  <c r="AI11" i="11"/>
  <c r="AA11" i="11" s="1"/>
  <c r="AI22" i="11"/>
  <c r="AA22" i="11" s="1"/>
  <c r="L72" i="7"/>
  <c r="L47" i="7"/>
  <c r="AI81" i="11"/>
  <c r="G101" i="11" s="1"/>
  <c r="AI84" i="11"/>
  <c r="AU84" i="11" s="1"/>
  <c r="L81" i="7"/>
  <c r="L13" i="7"/>
  <c r="L44" i="7"/>
  <c r="L85" i="7"/>
  <c r="L57" i="7"/>
  <c r="L77" i="7"/>
  <c r="L64" i="7"/>
  <c r="L70" i="7"/>
  <c r="L29" i="7"/>
  <c r="AI83" i="11"/>
  <c r="AA83" i="11" s="1"/>
  <c r="E77" i="11"/>
  <c r="E90" i="11"/>
  <c r="L9" i="7"/>
  <c r="L48" i="7"/>
  <c r="L79" i="7"/>
  <c r="L12" i="7"/>
  <c r="L20" i="7"/>
  <c r="L78" i="7"/>
  <c r="L30" i="7"/>
  <c r="L31" i="7"/>
  <c r="E100" i="11"/>
  <c r="AI69" i="11"/>
  <c r="AU69" i="11" s="1"/>
  <c r="L19" i="7"/>
  <c r="L37" i="7"/>
  <c r="AI65" i="11"/>
  <c r="AA65" i="11" s="1"/>
  <c r="L62" i="7"/>
  <c r="L23" i="7"/>
  <c r="L35" i="7"/>
  <c r="L73" i="7"/>
  <c r="L18" i="7"/>
  <c r="L61" i="7"/>
  <c r="L32" i="7"/>
  <c r="E102" i="11"/>
  <c r="AI76" i="11"/>
  <c r="G96" i="11" s="1"/>
  <c r="E106" i="11"/>
  <c r="AI66" i="11"/>
  <c r="G86" i="11" s="1"/>
  <c r="L76" i="7"/>
  <c r="L10" i="7"/>
  <c r="L27" i="7"/>
  <c r="L7" i="7"/>
  <c r="L86" i="7"/>
  <c r="L66" i="7"/>
  <c r="L84" i="7"/>
  <c r="L51" i="7"/>
  <c r="L22" i="7"/>
  <c r="E29" i="11"/>
  <c r="AI78" i="11"/>
  <c r="AA78" i="11" s="1"/>
  <c r="L28" i="7"/>
  <c r="L52" i="7"/>
  <c r="L60" i="7"/>
  <c r="E92" i="11"/>
  <c r="L74" i="7"/>
  <c r="L53" i="7"/>
  <c r="L43" i="7"/>
  <c r="L14" i="7"/>
  <c r="L49" i="7"/>
  <c r="L67" i="7"/>
  <c r="E97" i="11"/>
  <c r="L87" i="7"/>
  <c r="AI73" i="11"/>
  <c r="G93" i="11" s="1"/>
  <c r="L50" i="7"/>
  <c r="L75" i="7"/>
  <c r="L80" i="7"/>
  <c r="L24" i="7"/>
  <c r="L71" i="7"/>
  <c r="AI13" i="11"/>
  <c r="G33" i="11" s="1"/>
  <c r="AI68" i="11"/>
  <c r="AU68" i="11" s="1"/>
  <c r="AI71" i="11"/>
  <c r="AA71" i="11" s="1"/>
  <c r="AA85" i="11"/>
  <c r="AU85" i="11"/>
  <c r="G105" i="11"/>
  <c r="G90" i="11"/>
  <c r="AU50" i="11"/>
  <c r="AA50" i="11"/>
  <c r="G70" i="11"/>
  <c r="AI46" i="11" l="1"/>
  <c r="AU46" i="11" s="1"/>
  <c r="AI55" i="11"/>
  <c r="AA55" i="11" s="1"/>
  <c r="AI47" i="11"/>
  <c r="AU47" i="11" s="1"/>
  <c r="AI62" i="11"/>
  <c r="G82" i="11" s="1"/>
  <c r="AU70" i="11"/>
  <c r="AI15" i="11"/>
  <c r="AU15" i="11" s="1"/>
  <c r="AI5" i="11"/>
  <c r="AA5" i="11" s="1"/>
  <c r="AI28" i="11"/>
  <c r="AU28" i="11" s="1"/>
  <c r="AI41" i="11"/>
  <c r="AA41" i="11" s="1"/>
  <c r="AI6" i="11"/>
  <c r="AA6" i="11" s="1"/>
  <c r="I5" i="7"/>
  <c r="J5" i="7" s="1"/>
  <c r="AM4" i="9" s="1"/>
  <c r="AS5" i="9" s="1"/>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AI63" i="11"/>
  <c r="AU63" i="11" s="1"/>
  <c r="AI30" i="11"/>
  <c r="AA30" i="11" s="1"/>
  <c r="E74" i="11"/>
  <c r="AI21" i="11"/>
  <c r="AU21" i="11" s="1"/>
  <c r="AI10" i="11"/>
  <c r="AA10" i="11" s="1"/>
  <c r="AI36" i="11"/>
  <c r="G56" i="11" s="1"/>
  <c r="G76" i="1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AU41" i="11"/>
  <c r="G61" i="11"/>
  <c r="AU55" i="11"/>
  <c r="G102" i="11"/>
  <c r="AU71" i="11"/>
  <c r="AU66" i="11"/>
  <c r="G87" i="11"/>
  <c r="G107" i="11"/>
  <c r="AA67" i="11"/>
  <c r="AU65" i="11"/>
  <c r="AA87" i="11"/>
  <c r="AU77" i="11"/>
  <c r="G85" i="11"/>
  <c r="AA82" i="11"/>
  <c r="AU64" i="11"/>
  <c r="AA66" i="11"/>
  <c r="AU78" i="11"/>
  <c r="G31" i="11"/>
  <c r="AU11" i="11"/>
  <c r="AA77" i="11"/>
  <c r="G98" i="11"/>
  <c r="AU73" i="11"/>
  <c r="AA72" i="11"/>
  <c r="AA48" i="11"/>
  <c r="G92" i="11"/>
  <c r="AU79" i="11"/>
  <c r="G42" i="11"/>
  <c r="AA73" i="11"/>
  <c r="AU22" i="11"/>
  <c r="AA69" i="11"/>
  <c r="AA76" i="11"/>
  <c r="AU13" i="11"/>
  <c r="AA13" i="11"/>
  <c r="G35" i="11"/>
  <c r="AU62" i="11"/>
  <c r="AA58" i="11"/>
  <c r="AU74" i="11"/>
  <c r="AA47" i="11"/>
  <c r="AA62" i="11"/>
  <c r="G106" i="11"/>
  <c r="AA75" i="11"/>
  <c r="AU30" i="11"/>
  <c r="AU58" i="11"/>
  <c r="AA74" i="11"/>
  <c r="G67" i="11"/>
  <c r="AA57" i="11"/>
  <c r="AU86" i="11"/>
  <c r="AU75" i="11"/>
  <c r="G68" i="11"/>
  <c r="G75" i="11"/>
  <c r="AU76" i="11"/>
  <c r="AA68" i="11"/>
  <c r="G88" i="11"/>
  <c r="G66" i="11"/>
  <c r="AA46" i="11"/>
  <c r="AU81" i="11"/>
  <c r="AU83" i="11"/>
  <c r="AA84" i="11"/>
  <c r="G26" i="11"/>
  <c r="AA81" i="11"/>
  <c r="G103" i="11"/>
  <c r="G104" i="11"/>
  <c r="G89" i="11"/>
  <c r="G24" i="11" l="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60"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M5" i="7"/>
  <c r="AH4" i="9" s="1"/>
  <c r="AD4" i="9"/>
  <c r="O5" i="7"/>
  <c r="AT10" i="11"/>
  <c r="R41" i="11" l="1"/>
  <c r="E19" i="11" s="1"/>
  <c r="G84" i="11"/>
  <c r="K6" i="7"/>
  <c r="AO5" i="9" s="1"/>
  <c r="AQ4" i="9"/>
  <c r="AT11" i="11"/>
  <c r="AP10" i="11"/>
  <c r="AR10" i="11" s="1"/>
  <c r="I6" i="7" l="1"/>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AO7" i="9"/>
  <c r="AF7" i="9"/>
  <c r="AP16" i="11"/>
  <c r="AR16" i="11" s="1"/>
  <c r="AT17" i="11"/>
  <c r="Q8" i="7"/>
  <c r="J8" i="7"/>
  <c r="AP17" i="11" l="1"/>
  <c r="AR17" i="11" s="1"/>
  <c r="AT18" i="11"/>
  <c r="AD7" i="9"/>
  <c r="AM7" i="9"/>
  <c r="AS8" i="9" s="1"/>
  <c r="M8" i="7"/>
  <c r="O8" i="7"/>
  <c r="AP18" i="11" l="1"/>
  <c r="AR18" i="11" s="1"/>
  <c r="AT19" i="11"/>
  <c r="K9" i="7"/>
  <c r="AH7" i="9"/>
  <c r="AQ7" i="9"/>
  <c r="AP19" i="11" l="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<sst xmlns="http://schemas.openxmlformats.org/spreadsheetml/2006/main" count="826" uniqueCount="521">
  <si>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</si>
  <si>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</si>
  <si>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</si>
  <si>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</si>
  <si>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</si>
  <si>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</si>
  <si>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</si>
  <si>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</si>
  <si>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</si>
  <si>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</si>
  <si>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</si>
  <si>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</si>
  <si>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</si>
  <si>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</si>
  <si>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</si>
  <si>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</si>
  <si>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</si>
  <si>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</si>
  <si>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</si>
  <si>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</si>
  <si>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</si>
  <si>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</si>
  <si>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</si>
  <si>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</si>
  <si>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</si>
  <si>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</si>
  <si>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</si>
  <si>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</si>
  <si>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</si>
  <si>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</si>
  <si>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</si>
  <si>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</si>
  <si>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</si>
  <si>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</si>
  <si>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</si>
  <si>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</si>
  <si>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</si>
  <si>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</si>
  <si>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</si>
  <si>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</si>
  <si>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</si>
  <si>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</si>
  <si>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</si>
  <si>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</si>
  <si>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</si>
  <si>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</si>
  <si>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</si>
  <si>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</si>
  <si>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</si>
  <si>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</si>
  <si>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</si>
  <si>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</si>
  <si>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</si>
  <si>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</si>
  <si>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</si>
  <si>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</si>
  <si>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</si>
  <si>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</si>
  <si>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</si>
  <si>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</si>
  <si>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</si>
  <si>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</si>
  <si>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</si>
  <si>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</si>
  <si>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</si>
  <si>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</si>
  <si>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</si>
  <si>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</si>
  <si>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</si>
  <si>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</si>
  <si>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</si>
  <si>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</si>
  <si>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</si>
  <si>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</si>
  <si>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</si>
  <si>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</si>
  <si>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</si>
  <si>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</si>
  <si>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</si>
  <si>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</si>
  <si>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</si>
  <si>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</si>
  <si>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</si>
  <si>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</si>
  <si>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</si>
  <si>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</si>
  <si>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</si>
  <si>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</si>
  <si>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</si>
  <si>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</si>
  <si>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</si>
  <si>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</si>
  <si>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</si>
  <si>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</si>
  <si>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</si>
  <si>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</si>
  <si>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</si>
  <si>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</si>
  <si>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</si>
  <si>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</si>
  <si>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</si>
  <si>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</si>
  <si>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</si>
  <si>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</si>
  <si>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</si>
  <si>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</si>
  <si>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</si>
  <si>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</si>
  <si>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</si>
  <si>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</si>
  <si>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</si>
  <si>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</si>
  <si>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</si>
  <si>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</si>
  <si>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</si>
  <si>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</si>
  <si>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</si>
  <si>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</si>
  <si>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</si>
  <si>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</si>
  <si>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</si>
  <si>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</si>
  <si>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</si>
  <si>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</si>
  <si>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</si>
  <si>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</si>
  <si>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</si>
  <si>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</si>
  <si>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</si>
  <si>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</si>
  <si>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</si>
  <si>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</si>
  <si>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</si>
  <si>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</si>
  <si>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</si>
  <si>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</si>
  <si>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</si>
  <si>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</si>
  <si>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</si>
  <si>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</si>
  <si>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</si>
  <si>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</si>
  <si>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</si>
  <si>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</si>
  <si>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</si>
  <si>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</si>
  <si>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</si>
  <si>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</si>
  <si>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</si>
  <si>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</si>
  <si>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</si>
  <si>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</si>
  <si>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</si>
  <si>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</si>
  <si>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</si>
  <si>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</si>
  <si>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</si>
  <si>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</si>
  <si>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</si>
  <si>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</si>
  <si>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</si>
  <si>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</si>
  <si>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</si>
  <si>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</si>
  <si>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</si>
  <si>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</si>
  <si>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</si>
  <si>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</si>
  <si>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</si>
  <si>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</si>
  <si>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</si>
  <si>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</si>
  <si>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</si>
  <si>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</si>
  <si>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</si>
  <si>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</si>
  <si>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</si>
  <si>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</si>
  <si>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</si>
  <si>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</si>
  <si>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</si>
  <si>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</si>
  <si>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</si>
  <si>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</si>
  <si>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</si>
  <si>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</si>
  <si>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</si>
  <si>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</si>
  <si>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</si>
  <si>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</si>
  <si>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</si>
  <si>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</si>
  <si>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</si>
  <si>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</si>
  <si>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</si>
  <si>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</si>
  <si>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</si>
  <si>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</si>
  <si>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</si>
  <si>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</si>
  <si>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</si>
  <si>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</si>
  <si>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</si>
  <si>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</si>
  <si>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</si>
  <si>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</si>
  <si>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</si>
  <si>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</si>
  <si>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</si>
  <si>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</si>
  <si>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</si>
  <si>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</si>
  <si>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</si>
  <si>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</si>
  <si>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</si>
  <si>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</si>
  <si>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</si>
  <si>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</si>
  <si>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</si>
  <si>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</si>
  <si>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</si>
  <si>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</si>
  <si>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</si>
  <si>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</si>
  <si>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</si>
  <si>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</si>
  <si>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</si>
  <si>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</si>
  <si>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</si>
  <si>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</si>
  <si>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</si>
  <si>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</si>
  <si>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</si>
  <si>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</si>
  <si>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</si>
  <si>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</si>
  <si>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</si>
  <si>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</si>
  <si>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</si>
  <si>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</si>
  <si>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</si>
  <si>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</si>
  <si>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</si>
  <si>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</si>
  <si>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</si>
  <si>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</si>
  <si>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</si>
  <si>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</si>
  <si>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</si>
  <si>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</si>
  <si>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</si>
  <si>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</si>
  <si>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</si>
  <si>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</si>
  <si>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</si>
  <si>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</si>
  <si>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</si>
  <si>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</si>
  <si>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</si>
  <si>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</si>
  <si>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</si>
  <si>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</si>
  <si>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</si>
  <si>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</si>
  <si>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</si>
  <si>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</si>
  <si>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</si>
  <si>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</si>
  <si>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</si>
  <si>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</si>
  <si>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</si>
  <si>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</si>
  <si>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</si>
  <si>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</si>
  <si>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</si>
  <si>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</si>
  <si>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</si>
  <si>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</si>
  <si>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</si>
  <si>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</si>
  <si>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</si>
  <si>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</si>
  <si>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</si>
  <si>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</si>
  <si>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</si>
  <si>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</si>
  <si>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r>
      <t xml:space="preserve">Аванс </t>
    </r>
    <r>
      <rPr>
        <sz val="9"/>
        <color theme="0"/>
        <rFont val="Times New Roman"/>
        <family val="1"/>
        <charset val="204"/>
      </rPr>
      <t xml:space="preserve">(вказується в </t>
    </r>
    <r>
      <rPr>
        <b/>
        <sz val="9"/>
        <color theme="0"/>
        <rFont val="Times New Roman"/>
        <family val="1"/>
        <charset val="204"/>
      </rPr>
      <t>грн. "10000"</t>
    </r>
    <r>
      <rPr>
        <sz val="9"/>
        <color theme="0"/>
        <rFont val="Times New Roman"/>
        <family val="1"/>
        <charset val="204"/>
      </rPr>
      <t xml:space="preserve"> або</t>
    </r>
    <r>
      <rPr>
        <b/>
        <sz val="9"/>
        <color theme="0"/>
        <rFont val="Times New Roman"/>
        <family val="1"/>
        <charset val="204"/>
      </rPr>
      <t xml:space="preserve"> % "20%"</t>
    </r>
    <r>
      <rPr>
        <sz val="9"/>
        <color theme="0"/>
        <rFont val="Times New Roman"/>
        <family val="1"/>
        <charset val="204"/>
      </rPr>
      <t>)</t>
    </r>
  </si>
  <si>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</si>
  <si>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</si>
  <si>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</si>
  <si>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</si>
  <si>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</si>
  <si>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</si>
  <si>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</si>
  <si>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</si>
  <si>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</si>
  <si>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</si>
  <si>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</si>
  <si>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r>
      <t>Загальна сума внесків до повернення в місяць, грн.</t>
    </r>
    <r>
      <rPr>
        <b/>
        <sz val="8"/>
        <color theme="0"/>
        <rFont val="Times New Roman"/>
        <family val="1"/>
        <charset val="204"/>
      </rPr>
      <t>*</t>
    </r>
  </si>
  <si>
    <t>Авансовий внесок за авто:</t>
  </si>
  <si>
    <t>Одноразова комісія банку:</t>
  </si>
  <si>
    <t>КАСКО:</t>
  </si>
  <si>
    <t>Страхування НВ</t>
  </si>
  <si>
    <t>Цивілка:</t>
  </si>
  <si>
    <t>Авансовий платіж</t>
  </si>
  <si>
    <t>Продукти:</t>
  </si>
  <si>
    <t>міс.</t>
  </si>
  <si>
    <t>30-50</t>
  </si>
  <si>
    <t>Реєстрація автомобіля:</t>
  </si>
  <si>
    <t>50&gt;</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</si>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</sst>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5"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sz val="9"/>
      <color theme="0"/>
      <name val="Times New Roman"/>
      <family val="1"/>
      <charset val="204"/>
    </font>
    <font>
      <b/>
      <sz val="9"/>
      <color theme="0"/>
      <name val="Times New Roman"/>
      <family val="1"/>
      <charset val="204"/>
    </font>
    <font>
      <b/>
      <sz val="8"/>
      <color theme="0"/>
      <name val="Times New Roman"/>
      <family val="1"/>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34">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8"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8"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54" fillId="5" borderId="0" xfId="5" applyFont="1" applyFill="1" applyAlignment="1" applyProtection="1">
      <alignment horizontal="center"/>
      <protection hidden="1"/>
    </xf>
    <xf numFmtId="4" fontId="54" fillId="5" borderId="0" xfId="5" applyNumberFormat="1" applyFont="1" applyFill="1" applyAlignment="1" applyProtection="1">
      <alignment horizontal="center"/>
      <protection hidden="1"/>
    </xf>
    <xf numFmtId="4" fontId="33" fillId="5" borderId="0" xfId="5" applyNumberFormat="1" applyFont="1" applyFill="1" applyAlignment="1">
      <alignment horizontal="center"/>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8" fillId="5" borderId="32" xfId="5" applyNumberFormat="1" applyFont="1" applyFill="1" applyBorder="1" applyAlignment="1" applyProtection="1">
      <alignment horizontal="center" vertical="center"/>
      <protection hidden="1"/>
    </xf>
    <xf numFmtId="176" fontId="58" fillId="5" borderId="14" xfId="5" applyNumberFormat="1" applyFont="1" applyFill="1" applyBorder="1" applyAlignment="1" applyProtection="1">
      <alignment horizontal="center" vertical="center"/>
      <protection hidden="1"/>
    </xf>
    <xf numFmtId="176" fontId="48" fillId="10" borderId="32"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60" fillId="0" borderId="21" xfId="2" applyFont="1" applyBorder="1" applyAlignment="1" applyProtection="1">
      <alignment horizontal="center" vertical="center"/>
      <protection hidden="1"/>
    </xf>
    <xf numFmtId="0" fontId="60"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0" fontId="50" fillId="0" borderId="57" xfId="2" applyFont="1" applyBorder="1" applyAlignment="1" applyProtection="1">
      <alignment horizontal="center" vertical="center"/>
      <protection hidden="1"/>
    </xf>
    <xf numFmtId="0" fontId="50" fillId="0" borderId="58" xfId="2" applyFont="1" applyBorder="1" applyAlignment="1" applyProtection="1">
      <alignment horizontal="center" vertical="center"/>
      <protection hidden="1"/>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50" fillId="0" borderId="21" xfId="2" applyFont="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50" fillId="0" borderId="24" xfId="2" applyFont="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60" fillId="0" borderId="16" xfId="2" applyFont="1" applyBorder="1" applyAlignment="1" applyProtection="1">
      <alignment horizontal="center" vertical="center" wrapText="1"/>
      <protection hidden="1"/>
    </xf>
    <xf numFmtId="0" fontId="60" fillId="0" borderId="17" xfId="2" applyFont="1" applyBorder="1" applyAlignment="1" applyProtection="1">
      <alignment horizontal="center" vertical="center" wrapText="1"/>
      <protection hidden="1"/>
    </xf>
    <xf numFmtId="0" fontId="60" fillId="0" borderId="20" xfId="2" applyFont="1" applyBorder="1" applyAlignment="1" applyProtection="1">
      <alignment horizontal="center" vertical="center" wrapText="1"/>
      <protection hidden="1"/>
    </xf>
    <xf numFmtId="0" fontId="60" fillId="0" borderId="15" xfId="2" applyFont="1" applyBorder="1" applyAlignment="1" applyProtection="1">
      <alignment horizontal="center" vertical="center" wrapText="1"/>
      <protection hidden="1"/>
    </xf>
    <xf numFmtId="0" fontId="60" fillId="0" borderId="21" xfId="2" applyFont="1" applyBorder="1" applyAlignment="1" applyProtection="1">
      <alignment horizontal="center" vertical="center" wrapText="1"/>
      <protection hidden="1"/>
    </xf>
    <xf numFmtId="0" fontId="60"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176" fontId="58" fillId="5" borderId="21" xfId="5" applyNumberFormat="1" applyFont="1" applyFill="1" applyBorder="1" applyAlignment="1" applyProtection="1">
      <alignment horizontal="center" vertical="center"/>
      <protection hidden="1"/>
    </xf>
    <xf numFmtId="176" fontId="58" fillId="5" borderId="13" xfId="5" applyNumberFormat="1" applyFont="1" applyFill="1" applyBorder="1" applyAlignment="1" applyProtection="1">
      <alignment horizontal="center" vertical="center"/>
      <protection hidden="1"/>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9"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6">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87</xdr:col>
          <xdr:colOff>0</xdr:colOff>
          <xdr:row>2</xdr:row>
          <xdr:rowOff>91440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53340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Автостарт </a:t>
          </a:r>
          <a:r>
            <a:rPr lang="en-US" sz="2000" baseline="0">
              <a:solidFill>
                <a:schemeClr val="bg1"/>
              </a:solidFill>
              <a:latin typeface="KredoBank ExtBd" pitchFamily="50" charset="0"/>
              <a:cs typeface="Times New Roman" panose="02020603050405020304" pitchFamily="18" charset="0"/>
            </a:rPr>
            <a:t>NEW</a:t>
          </a: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88</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88</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84</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84</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205740</xdr:colOff>
          <xdr:row>18</xdr:row>
          <xdr:rowOff>68580</xdr:rowOff>
        </xdr:from>
        <xdr:to>
          <xdr:col>88</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104</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92</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88</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53340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4" width="0" style="160" hidden="1" customWidth="1"/>
    <col min="65" max="16384" width="8.77734375" style="160"/>
  </cols>
  <sheetData>
    <row r="1" spans="2:8" x14ac:dyDescent="0.3">
      <c r="B1" s="158" t="s">
        <v>0</v>
      </c>
      <c r="C1" s="159" t="s">
        <v>1</v>
      </c>
      <c r="D1" s="159"/>
      <c r="G1" s="160" t="s">
        <v>2</v>
      </c>
    </row>
    <row r="2" spans="2:8" x14ac:dyDescent="0.3">
      <c r="B2" s="161"/>
      <c r="C2" s="162"/>
      <c r="D2" s="162"/>
    </row>
    <row r="3" spans="2:8" x14ac:dyDescent="0.3">
      <c r="B3" s="160" t="s">
        <v>3</v>
      </c>
      <c r="C3" s="163">
        <v>333333.33333333337</v>
      </c>
      <c r="D3" s="163"/>
      <c r="G3" s="160" t="s">
        <v>4</v>
      </c>
      <c r="H3" s="160" t="s">
        <v>5</v>
      </c>
    </row>
    <row r="4" spans="2:8" x14ac:dyDescent="0.3">
      <c r="B4" s="160" t="s">
        <v>6</v>
      </c>
      <c r="C4" s="163">
        <f>C3*E4</f>
        <v>233333.33333333334</v>
      </c>
      <c r="D4" s="163">
        <f>C4/C3</f>
        <v>0.7</v>
      </c>
      <c r="E4" s="160">
        <v>0.7</v>
      </c>
      <c r="G4" s="160" t="s">
        <v>7</v>
      </c>
    </row>
    <row r="5" spans="2:8" x14ac:dyDescent="0.3">
      <c r="B5" s="160" t="s">
        <v>8</v>
      </c>
      <c r="C5" s="163">
        <v>5000000</v>
      </c>
      <c r="D5" s="163"/>
      <c r="G5" s="160" t="s">
        <v>9</v>
      </c>
      <c r="H5" s="160">
        <v>60</v>
      </c>
    </row>
    <row r="6" spans="2:8" x14ac:dyDescent="0.3">
      <c r="C6" s="163"/>
      <c r="D6" s="163"/>
      <c r="G6" s="160" t="s">
        <v>10</v>
      </c>
      <c r="H6" s="160">
        <f>Ануїтетна_графік_Авто!E2</f>
        <v>13.99</v>
      </c>
    </row>
    <row r="7" spans="2:8" x14ac:dyDescent="0.3">
      <c r="C7" s="163"/>
      <c r="D7" s="163">
        <f>D6*1.7</f>
        <v>0</v>
      </c>
      <c r="E7" s="160">
        <f>D6+D5</f>
        <v>0</v>
      </c>
      <c r="G7" s="160" t="s">
        <v>11</v>
      </c>
    </row>
    <row r="8" spans="2:8" x14ac:dyDescent="0.3">
      <c r="B8" s="160" t="s">
        <v>12</v>
      </c>
      <c r="C8" s="163">
        <f>C3-C4</f>
        <v>100000.00000000003</v>
      </c>
      <c r="D8" s="163"/>
      <c r="G8" s="160" t="s">
        <v>13</v>
      </c>
      <c r="H8" s="160" t="s">
        <v>14</v>
      </c>
    </row>
    <row r="9" spans="2:8" x14ac:dyDescent="0.3">
      <c r="B9" s="160" t="s">
        <v>15</v>
      </c>
      <c r="C9" s="163" t="s">
        <v>16</v>
      </c>
      <c r="D9" s="163"/>
    </row>
    <row r="10" spans="2:8" x14ac:dyDescent="0.3">
      <c r="B10" s="160" t="s">
        <v>17</v>
      </c>
      <c r="C10" s="163" t="s">
        <v>16</v>
      </c>
      <c r="D10" s="163">
        <v>3960.0000000000005</v>
      </c>
      <c r="H10" s="160">
        <f>H4*C3</f>
        <v>0</v>
      </c>
    </row>
    <row r="11" spans="2:8" x14ac:dyDescent="0.3">
      <c r="B11" s="160" t="s">
        <v>18</v>
      </c>
      <c r="C11" s="160" t="s">
        <v>16</v>
      </c>
      <c r="H11" s="160">
        <f>H4*C8</f>
        <v>0</v>
      </c>
    </row>
    <row r="12" spans="2:8" x14ac:dyDescent="0.3">
      <c r="B12" s="161" t="s">
        <v>19</v>
      </c>
      <c r="C12" s="161" t="s">
        <v>16</v>
      </c>
      <c r="E12" s="160">
        <f>800000/100</f>
        <v>8000</v>
      </c>
    </row>
    <row r="13" spans="2:8" x14ac:dyDescent="0.3">
      <c r="B13" s="160" t="s">
        <v>20</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21</v>
      </c>
      <c r="I17" s="160" t="s">
        <v>22</v>
      </c>
    </row>
    <row r="18" spans="2:9" x14ac:dyDescent="0.3">
      <c r="C18" s="160" t="s">
        <v>21</v>
      </c>
      <c r="G18" s="160" t="s">
        <v>23</v>
      </c>
      <c r="H18" s="160" t="s">
        <v>24</v>
      </c>
    </row>
    <row r="19" spans="2:9" x14ac:dyDescent="0.3">
      <c r="B19" s="160" t="s">
        <v>25</v>
      </c>
      <c r="C19" s="160">
        <v>100</v>
      </c>
      <c r="G19" s="160" t="s">
        <v>26</v>
      </c>
      <c r="H19" s="160">
        <v>0</v>
      </c>
    </row>
    <row r="20" spans="2:9" x14ac:dyDescent="0.3">
      <c r="B20" s="160" t="s">
        <v>27</v>
      </c>
      <c r="C20" s="160" t="s">
        <v>28</v>
      </c>
      <c r="G20" s="160" t="s">
        <v>29</v>
      </c>
      <c r="H20" s="160">
        <v>35065</v>
      </c>
    </row>
    <row r="21" spans="2:9" x14ac:dyDescent="0.3">
      <c r="B21" s="160" t="s">
        <v>30</v>
      </c>
      <c r="C21" s="160" t="s">
        <v>28</v>
      </c>
    </row>
    <row r="22" spans="2:9" x14ac:dyDescent="0.3">
      <c r="B22" s="160" t="s">
        <v>31</v>
      </c>
      <c r="G22" s="160" t="s">
        <v>32</v>
      </c>
    </row>
    <row r="23" spans="2:9" x14ac:dyDescent="0.3">
      <c r="F23" s="160" t="s">
        <v>33</v>
      </c>
      <c r="G23" s="160" t="s">
        <v>34</v>
      </c>
    </row>
    <row r="24" spans="2:9" x14ac:dyDescent="0.3">
      <c r="B24" s="160" t="s">
        <v>35</v>
      </c>
      <c r="C24" s="160">
        <v>24</v>
      </c>
      <c r="G24" s="160" t="s">
        <v>36</v>
      </c>
    </row>
    <row r="25" spans="2:9" x14ac:dyDescent="0.3">
      <c r="B25" s="160" t="s">
        <v>37</v>
      </c>
      <c r="C25" s="160">
        <v>0</v>
      </c>
      <c r="G25" s="160" t="s">
        <v>38</v>
      </c>
    </row>
    <row r="26" spans="2:9" x14ac:dyDescent="0.3">
      <c r="G26" s="160" t="s">
        <v>39</v>
      </c>
    </row>
    <row r="27" spans="2:9" x14ac:dyDescent="0.3">
      <c r="G27" s="160" t="s">
        <v>40</v>
      </c>
    </row>
    <row r="29" spans="2:9" x14ac:dyDescent="0.3">
      <c r="B29" s="160" t="s">
        <v>41</v>
      </c>
      <c r="C29" s="160">
        <v>0</v>
      </c>
    </row>
    <row r="30" spans="2:9" x14ac:dyDescent="0.3">
      <c r="B30" s="160" t="s">
        <v>42</v>
      </c>
      <c r="C30" s="160">
        <v>0</v>
      </c>
    </row>
    <row r="32" spans="2:9" x14ac:dyDescent="0.3">
      <c r="C32" s="160" t="s">
        <v>21</v>
      </c>
      <c r="D32" s="160" t="s">
        <v>43</v>
      </c>
      <c r="E32" s="160" t="s">
        <v>22</v>
      </c>
    </row>
    <row r="33" spans="1:3" x14ac:dyDescent="0.3">
      <c r="A33" s="160" t="s">
        <v>44</v>
      </c>
      <c r="B33" s="160" t="s">
        <v>45</v>
      </c>
    </row>
    <row r="34" spans="1:3" x14ac:dyDescent="0.3">
      <c r="B34" s="160" t="s">
        <v>46</v>
      </c>
      <c r="C34" s="160">
        <v>2000000</v>
      </c>
    </row>
    <row r="35" spans="1:3" x14ac:dyDescent="0.3">
      <c r="B35" s="160" t="s">
        <v>47</v>
      </c>
    </row>
    <row r="36" spans="1:3" x14ac:dyDescent="0.3">
      <c r="B36" s="160" t="s">
        <v>48</v>
      </c>
    </row>
    <row r="38" spans="1:3" x14ac:dyDescent="0.3">
      <c r="A38" s="160" t="s">
        <v>49</v>
      </c>
      <c r="B38" s="160" t="s">
        <v>50</v>
      </c>
    </row>
    <row r="40" spans="1:3" x14ac:dyDescent="0.3">
      <c r="A40" s="160" t="s">
        <v>51</v>
      </c>
      <c r="B40" s="160" t="s">
        <v>52</v>
      </c>
    </row>
    <row r="41" spans="1:3" x14ac:dyDescent="0.3">
      <c r="B41" s="160" t="s">
        <v>53</v>
      </c>
    </row>
    <row r="42" spans="1:3" x14ac:dyDescent="0.3">
      <c r="B42" s="160" t="s">
        <v>54</v>
      </c>
    </row>
    <row r="43" spans="1:3" x14ac:dyDescent="0.3">
      <c r="B43" s="160" t="s">
        <v>55</v>
      </c>
    </row>
    <row r="45" spans="1:3" x14ac:dyDescent="0.3">
      <c r="A45" s="160" t="s">
        <v>56</v>
      </c>
      <c r="B45" s="160" t="s">
        <v>57</v>
      </c>
    </row>
    <row r="46" spans="1:3" x14ac:dyDescent="0.3">
      <c r="B46" s="160" t="s">
        <v>58</v>
      </c>
    </row>
    <row r="48" spans="1:3" x14ac:dyDescent="0.3">
      <c r="A48" s="160" t="s">
        <v>59</v>
      </c>
      <c r="B48" s="160" t="s">
        <v>60</v>
      </c>
    </row>
    <row r="49" spans="1:3" x14ac:dyDescent="0.3">
      <c r="B49" s="160" t="s">
        <v>61</v>
      </c>
    </row>
    <row r="51" spans="1:3" x14ac:dyDescent="0.3">
      <c r="A51" s="160" t="s">
        <v>62</v>
      </c>
      <c r="B51" s="160" t="s">
        <v>63</v>
      </c>
    </row>
    <row r="52" spans="1:3" x14ac:dyDescent="0.3">
      <c r="B52" s="160" t="s">
        <v>64</v>
      </c>
    </row>
    <row r="54" spans="1:3" x14ac:dyDescent="0.3">
      <c r="A54" s="160" t="s">
        <v>65</v>
      </c>
      <c r="B54" s="160" t="s">
        <v>66</v>
      </c>
      <c r="C54" s="160">
        <v>0</v>
      </c>
    </row>
    <row r="55" spans="1:3" x14ac:dyDescent="0.3">
      <c r="B55" s="160" t="s">
        <v>67</v>
      </c>
      <c r="C55" s="160">
        <v>0</v>
      </c>
    </row>
    <row r="58" spans="1:3" x14ac:dyDescent="0.3">
      <c r="A58" s="160" t="s">
        <v>68</v>
      </c>
      <c r="B58" s="160" t="s">
        <v>69</v>
      </c>
    </row>
    <row r="59" spans="1:3" x14ac:dyDescent="0.3">
      <c r="B59" s="160" t="s">
        <v>70</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71</v>
      </c>
      <c r="B63" s="160" t="s">
        <v>72</v>
      </c>
    </row>
    <row r="64" spans="1:3" x14ac:dyDescent="0.3">
      <c r="B64" s="160" t="s">
        <v>73</v>
      </c>
    </row>
    <row r="65" spans="1:9" x14ac:dyDescent="0.3">
      <c r="B65" s="160" t="s">
        <v>74</v>
      </c>
    </row>
    <row r="66" spans="1:9" x14ac:dyDescent="0.3">
      <c r="B66" s="160" t="s">
        <v>75</v>
      </c>
      <c r="C66" s="160">
        <v>0</v>
      </c>
    </row>
    <row r="74" spans="1:9" x14ac:dyDescent="0.3">
      <c r="H74" s="160" t="s">
        <v>76</v>
      </c>
      <c r="I74" s="160" t="s">
        <v>77</v>
      </c>
    </row>
    <row r="75" spans="1:9" x14ac:dyDescent="0.3">
      <c r="B75" s="160" t="s">
        <v>78</v>
      </c>
      <c r="G75" s="160" t="s">
        <v>79</v>
      </c>
      <c r="H75" s="160">
        <f>IF(OR(H6&lt;&gt;"",H5&lt;&gt;""),(Ануїтетна_графік_Іпотека!B16/1200*(1+Ануїтетна_графік_Іпотека!B16/1200)^H5)/(((1+Ануїтетна_графік_Іпотека!B16/1200)^H5)-1)+H4/100,0)</f>
        <v>2.3263066802027738E-2</v>
      </c>
      <c r="I75" s="160">
        <f>IF(OR(H6&lt;&gt;"",H5&lt;&gt;""),1/H5+Ануїтетна_графік_Іпотека!B16/100*31/360+H4/100,0)</f>
        <v>2.8713611111111113E-2</v>
      </c>
    </row>
    <row r="76" spans="1:9" x14ac:dyDescent="0.3">
      <c r="B76" s="160" t="s">
        <v>80</v>
      </c>
      <c r="C76" s="160">
        <f>MAX(H75:H78)</f>
        <v>2.3263066802027738E-2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82</v>
      </c>
      <c r="C77" s="160">
        <f>MAX(I75:I78)</f>
        <v>2.8713611111111113E-2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84</v>
      </c>
      <c r="C78" s="160">
        <f>IF(H3="ануїтет",C76,C77)</f>
        <v>2.3263066802027738E-2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86</v>
      </c>
      <c r="B80" s="160" t="s">
        <v>87</v>
      </c>
      <c r="C80" s="160">
        <f>$H$91</f>
        <v>4000000</v>
      </c>
      <c r="G80" s="160" t="s">
        <v>88</v>
      </c>
    </row>
    <row r="81" spans="1:9" x14ac:dyDescent="0.3">
      <c r="B81" s="160" t="s">
        <v>89</v>
      </c>
      <c r="C81" s="160">
        <f>C29+C30</f>
        <v>0</v>
      </c>
    </row>
    <row r="82" spans="1:9" x14ac:dyDescent="0.3">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3">
      <c r="G83" s="160" t="s">
        <v>92</v>
      </c>
      <c r="H83" s="160">
        <v>0.65</v>
      </c>
    </row>
    <row r="84" spans="1:9" x14ac:dyDescent="0.3">
      <c r="A84" s="160" t="s">
        <v>93</v>
      </c>
      <c r="B84" s="160" t="s">
        <v>94</v>
      </c>
      <c r="C84" s="160" t="s">
        <v>21</v>
      </c>
      <c r="D84" s="160" t="s">
        <v>43</v>
      </c>
      <c r="E84" s="160" t="s">
        <v>22</v>
      </c>
      <c r="G84" s="160" t="s">
        <v>95</v>
      </c>
      <c r="H84" s="160">
        <v>1</v>
      </c>
    </row>
    <row r="85" spans="1:9" x14ac:dyDescent="0.3">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3">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3">
      <c r="B87" s="160" t="s">
        <v>100</v>
      </c>
      <c r="C87" s="160">
        <f>C38</f>
        <v>0</v>
      </c>
      <c r="D87" s="160">
        <f>D38</f>
        <v>0</v>
      </c>
      <c r="E87" s="160">
        <f>E38</f>
        <v>0</v>
      </c>
      <c r="G87" s="160" t="s">
        <v>101</v>
      </c>
      <c r="H87" s="160">
        <v>4000000</v>
      </c>
    </row>
    <row r="88" spans="1:9" x14ac:dyDescent="0.3">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3">
      <c r="B89" s="160" t="s">
        <v>105</v>
      </c>
      <c r="C89" s="160">
        <f>C45</f>
        <v>0</v>
      </c>
      <c r="D89" s="160">
        <f>D45</f>
        <v>0</v>
      </c>
      <c r="E89" s="160">
        <f>E45</f>
        <v>0</v>
      </c>
      <c r="G89" s="160" t="s">
        <v>106</v>
      </c>
      <c r="H89" s="160">
        <v>1</v>
      </c>
    </row>
    <row r="90" spans="1:9" x14ac:dyDescent="0.3">
      <c r="B90" s="160" t="s">
        <v>107</v>
      </c>
      <c r="C90" s="160">
        <f>C48-C49</f>
        <v>0</v>
      </c>
      <c r="D90" s="160">
        <f>D48-D49</f>
        <v>0</v>
      </c>
      <c r="E90" s="160">
        <f>E48-E49</f>
        <v>0</v>
      </c>
      <c r="G90" s="160" t="s">
        <v>108</v>
      </c>
      <c r="H90" s="160">
        <v>1</v>
      </c>
    </row>
    <row r="91" spans="1:9" x14ac:dyDescent="0.3">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3">
      <c r="B92" s="160" t="s">
        <v>111</v>
      </c>
      <c r="C92" s="160">
        <f>SUM(C86:C91)</f>
        <v>1610000</v>
      </c>
      <c r="D92" s="160">
        <f>SUM(D86:D91)</f>
        <v>0</v>
      </c>
      <c r="E92" s="160">
        <f>SUM(E86:E91)</f>
        <v>0</v>
      </c>
    </row>
    <row r="93" spans="1:9" x14ac:dyDescent="0.3">
      <c r="B93" s="160" t="s">
        <v>112</v>
      </c>
      <c r="C93" s="160">
        <f>C92+D92+IF(C9="Так",E92,0)</f>
        <v>1610000</v>
      </c>
    </row>
    <row r="95" spans="1:9" x14ac:dyDescent="0.3">
      <c r="A95" s="160" t="s">
        <v>113</v>
      </c>
      <c r="B95" s="160" t="s">
        <v>90</v>
      </c>
      <c r="C95" s="160">
        <f>H82</f>
        <v>30</v>
      </c>
    </row>
    <row r="96" spans="1:9" x14ac:dyDescent="0.3">
      <c r="B96" s="160" t="s">
        <v>114</v>
      </c>
      <c r="C96" s="160">
        <f>IF(C3&lt;&gt;"",C4/C3*100,0)</f>
        <v>70</v>
      </c>
    </row>
    <row r="97" spans="1:4" x14ac:dyDescent="0.3">
      <c r="B97" s="160" t="s">
        <v>113</v>
      </c>
      <c r="C97" s="160">
        <f>IF(C1="Поточні потреби під заставу нерухомості",C82,IF(C96&gt;C95,C3-C4+(D10+D11+D12)*H90,C3-(C3*C95/100)+(D10+D11+D12)*H90))</f>
        <v>103960.00000000003</v>
      </c>
    </row>
    <row r="99" spans="1:4" x14ac:dyDescent="0.3">
      <c r="A99" s="160" t="s">
        <v>115</v>
      </c>
      <c r="B99" s="160" t="s">
        <v>92</v>
      </c>
      <c r="C99" s="160">
        <f>H83</f>
        <v>0.65</v>
      </c>
    </row>
    <row r="100" spans="1:4" x14ac:dyDescent="0.3">
      <c r="B100" s="160" t="s">
        <v>116</v>
      </c>
      <c r="C100" s="160">
        <f>C54+D54+E54+C55+D55+E55</f>
        <v>0</v>
      </c>
    </row>
    <row r="101" spans="1:4" x14ac:dyDescent="0.3">
      <c r="B101" s="160" t="s">
        <v>115</v>
      </c>
      <c r="C101" s="160">
        <f>IF(C78&lt;&gt;0,(C99*C93-C100)/C78,0)</f>
        <v>44985470.269499518</v>
      </c>
    </row>
    <row r="103" spans="1:4" x14ac:dyDescent="0.3">
      <c r="A103" s="160" t="s">
        <v>117</v>
      </c>
      <c r="B103" s="160" t="s">
        <v>95</v>
      </c>
      <c r="C103" s="160">
        <f>H84</f>
        <v>1</v>
      </c>
    </row>
    <row r="104" spans="1:4" x14ac:dyDescent="0.3">
      <c r="B104" s="160" t="s">
        <v>97</v>
      </c>
      <c r="C104" s="160">
        <f>H85</f>
        <v>1.266</v>
      </c>
    </row>
    <row r="105" spans="1:4" x14ac:dyDescent="0.3">
      <c r="B105" s="160" t="s">
        <v>99</v>
      </c>
      <c r="C105" s="160">
        <f>H86</f>
        <v>1420.07</v>
      </c>
    </row>
    <row r="106" spans="1:4" x14ac:dyDescent="0.3">
      <c r="C106" s="160" t="s">
        <v>21</v>
      </c>
      <c r="D106" s="160" t="s">
        <v>22</v>
      </c>
    </row>
    <row r="107" spans="1:4" x14ac:dyDescent="0.3">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119</v>
      </c>
      <c r="C108" s="160">
        <f>IFERROR(VLOOKUP(C20,'Таблиця МП_БВС'!$B:$E,4,),1.33)</f>
        <v>1.33</v>
      </c>
      <c r="D108" s="160">
        <f>IFERROR(VLOOKUP(D20,'Таблиця МП_БВС'!$B:$E,4,),1)</f>
        <v>1</v>
      </c>
    </row>
    <row r="109" spans="1:4" x14ac:dyDescent="0.3">
      <c r="B109" s="160" t="s">
        <v>120</v>
      </c>
      <c r="C109" s="160">
        <f>IFERROR(VLOOKUP(C21,'Таблиця МП_БВС'!$B:$E,4,),1.33)</f>
        <v>1.33</v>
      </c>
      <c r="D109" s="160">
        <f>IFERROR(VLOOKUP(D21,'Таблиця МП_БВС'!$B:$E,4,),1)</f>
        <v>1</v>
      </c>
    </row>
    <row r="110" spans="1:4" x14ac:dyDescent="0.3">
      <c r="B110" s="160" t="s">
        <v>121</v>
      </c>
      <c r="C110" s="160">
        <f>IFERROR(VLOOKUP(C22,'Таблиця МП_БВС'!$B:$E,4,),1.33)</f>
        <v>1.33</v>
      </c>
      <c r="D110" s="160">
        <f>IFERROR(VLOOKUP(C22,'Таблиця МП_БВС'!$B:$E,4,),1)</f>
        <v>1</v>
      </c>
    </row>
    <row r="111" spans="1:4" x14ac:dyDescent="0.3">
      <c r="B111" s="160" t="s">
        <v>122</v>
      </c>
      <c r="C111" s="160">
        <f>IF(C1="Автокредит",MAX(C108,C109),MAX(C108,C109,C110))</f>
        <v>1.33</v>
      </c>
      <c r="D111" s="160">
        <f>MAX(D108,D109,D110)</f>
        <v>1</v>
      </c>
    </row>
    <row r="112" spans="1:4" x14ac:dyDescent="0.3">
      <c r="B112" s="160" t="s">
        <v>123</v>
      </c>
      <c r="C112" s="160">
        <f>1+IF(OR(H18="одружений(на)",H18="не зареєстрований шлюб"),1,0)+H19</f>
        <v>1</v>
      </c>
      <c r="D112" s="160">
        <f>1+IF(OR(I18="одружений(на)",I18="не зареєстрований шлюб"),1,0)+I19</f>
        <v>1</v>
      </c>
    </row>
    <row r="113" spans="1:4" x14ac:dyDescent="0.3">
      <c r="B113" s="160" t="s">
        <v>124</v>
      </c>
      <c r="C113" s="160">
        <f>MAX(C19,C107*C111*$C$104)</f>
        <v>8621.2398426</v>
      </c>
      <c r="D113" s="160">
        <f>IF(C9="Так",MAX(D19,D107*D111*$C$104),0)</f>
        <v>0</v>
      </c>
    </row>
    <row r="114" spans="1:4" x14ac:dyDescent="0.3">
      <c r="B114" s="160" t="s">
        <v>117</v>
      </c>
      <c r="C114" s="160">
        <f>IF(C78&lt;&gt;0,(C103*C93-C100-C113-D113)/C78,0)</f>
        <v>68837818.065235272</v>
      </c>
    </row>
    <row r="116" spans="1:4" x14ac:dyDescent="0.3">
      <c r="A116" s="160" t="s">
        <v>125</v>
      </c>
      <c r="B116" s="160" t="s">
        <v>94</v>
      </c>
    </row>
    <row r="118" spans="1:4" x14ac:dyDescent="0.3">
      <c r="A118" s="160" t="s">
        <v>126</v>
      </c>
      <c r="B118" s="160" t="s">
        <v>101</v>
      </c>
      <c r="C118" s="160">
        <f>H87</f>
        <v>4000000</v>
      </c>
    </row>
    <row r="119" spans="1:4" x14ac:dyDescent="0.3">
      <c r="B119" s="160" t="s">
        <v>127</v>
      </c>
      <c r="C119" s="160">
        <f>C63+C64+C65+C66</f>
        <v>0</v>
      </c>
    </row>
    <row r="120" spans="1:4" x14ac:dyDescent="0.3">
      <c r="B120" s="160" t="s">
        <v>126</v>
      </c>
      <c r="C120" s="160">
        <f>C118-C119</f>
        <v>4000000</v>
      </c>
    </row>
    <row r="122" spans="1:4" x14ac:dyDescent="0.3">
      <c r="A122" s="160" t="s">
        <v>128</v>
      </c>
      <c r="B122" s="160" t="s">
        <v>87</v>
      </c>
      <c r="C122" s="160">
        <f>$H$91</f>
        <v>4000000</v>
      </c>
    </row>
    <row r="124" spans="1:4" x14ac:dyDescent="0.3">
      <c r="B124" s="160" t="s">
        <v>128</v>
      </c>
      <c r="C124" s="160">
        <f>IF(C123+H5*31&lt;=C122,C80,0)</f>
        <v>4000000</v>
      </c>
    </row>
    <row r="126" spans="1:4" x14ac:dyDescent="0.3">
      <c r="A126" s="160" t="s">
        <v>129</v>
      </c>
      <c r="B126" s="160" t="s">
        <v>129</v>
      </c>
      <c r="C126" s="160">
        <f>IF(C13=0,C3-C4+SUMIF(C10:C12,"Так",D10:D12),C13)</f>
        <v>100000.00000000003</v>
      </c>
    </row>
    <row r="128" spans="1:4" x14ac:dyDescent="0.3">
      <c r="A128" s="160" t="s">
        <v>130</v>
      </c>
      <c r="B128" s="160" t="s">
        <v>94</v>
      </c>
    </row>
    <row r="129" spans="1:3" x14ac:dyDescent="0.3">
      <c r="A129" s="160" t="s">
        <v>131</v>
      </c>
      <c r="B129" s="160" t="s">
        <v>94</v>
      </c>
    </row>
    <row r="130" spans="1:3" x14ac:dyDescent="0.3">
      <c r="A130" s="160" t="s">
        <v>132</v>
      </c>
      <c r="B130" s="160" t="s">
        <v>94</v>
      </c>
    </row>
    <row r="132" spans="1:3" x14ac:dyDescent="0.3">
      <c r="A132" s="160" t="s">
        <v>133</v>
      </c>
      <c r="B132" s="160" t="s">
        <v>103</v>
      </c>
      <c r="C132" s="160">
        <f>H88</f>
        <v>0.5</v>
      </c>
    </row>
    <row r="133" spans="1:3" x14ac:dyDescent="0.3">
      <c r="B133" s="160" t="s">
        <v>133</v>
      </c>
      <c r="C133" s="160">
        <f>IF(C5&gt;0,C132*C5,0)</f>
        <v>2500000</v>
      </c>
    </row>
    <row r="135" spans="1:3" x14ac:dyDescent="0.3">
      <c r="B135" s="160" t="s">
        <v>134</v>
      </c>
      <c r="C135" s="160">
        <f>ROUNDDOWN(MAX(MIN(C82,C97,C101,C114,C120,C124,C126,C133),0)*H89,-2)</f>
        <v>100000</v>
      </c>
    </row>
    <row r="138" spans="1:3" x14ac:dyDescent="0.3">
      <c r="B138" s="160" t="s">
        <v>135</v>
      </c>
    </row>
    <row r="139" spans="1:3" x14ac:dyDescent="0.3">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3">
      <c r="A140" s="160" t="s">
        <v>138</v>
      </c>
      <c r="B140" s="160" t="s">
        <v>139</v>
      </c>
      <c r="C140" s="160">
        <f>IFERROR(MAX(C19,'Таблиця МП_БВС'!I4*MAX('Таблиця МП_БВС'!$E$3:$E$47)*H85),0)</f>
        <v>8621.2398426</v>
      </c>
    </row>
    <row r="141" spans="1:3" x14ac:dyDescent="0.3">
      <c r="A141" s="160" t="s">
        <v>140</v>
      </c>
      <c r="B141" s="160" t="s">
        <v>141</v>
      </c>
      <c r="C141" s="160">
        <f>MAX(C92-C140-C54-C55,0)</f>
        <v>1601378.7601574</v>
      </c>
    </row>
    <row r="142" spans="1:3" x14ac:dyDescent="0.3">
      <c r="A142" s="160" t="s">
        <v>142</v>
      </c>
      <c r="B142" s="160" t="s">
        <v>143</v>
      </c>
      <c r="C142" s="160">
        <f>IF(C92=0,0,C92/(C140+C54+C55+C139))</f>
        <v>38.666816356547358</v>
      </c>
    </row>
    <row r="143" spans="1:3" x14ac:dyDescent="0.3">
      <c r="A143" s="160" t="s">
        <v>144</v>
      </c>
      <c r="B143" s="160" t="s">
        <v>145</v>
      </c>
      <c r="C143" s="160">
        <f>IF(C92=0,0,(C139+C54+C55)/C92)</f>
        <v>2.050716149068323E-2</v>
      </c>
    </row>
    <row r="144" spans="1:3" x14ac:dyDescent="0.3">
      <c r="A144" s="160" t="s">
        <v>146</v>
      </c>
      <c r="B144" s="160" t="s">
        <v>147</v>
      </c>
      <c r="C144" s="160">
        <f>IF(C5=0,0,C135*(1+H6/100*31/360)/C5)</f>
        <v>2.0240938888888886E-2</v>
      </c>
    </row>
    <row r="145" spans="1:4" x14ac:dyDescent="0.3">
      <c r="A145" s="160" t="s">
        <v>148</v>
      </c>
      <c r="B145" s="160" t="s">
        <v>149</v>
      </c>
      <c r="C145" s="160">
        <f>IF(C58="I",C59,C59/4)</f>
        <v>0</v>
      </c>
    </row>
    <row r="146" spans="1:4" x14ac:dyDescent="0.3">
      <c r="B146" s="160" t="s">
        <v>150</v>
      </c>
      <c r="C146" s="160">
        <f>IF(C58="I",C60,
IF(C58="II",C60,
IF(C58="III",C60/2,
IF(C58="IV",C60/3,0))))</f>
        <v>0</v>
      </c>
      <c r="D146" s="160" t="s">
        <v>151</v>
      </c>
    </row>
    <row r="147" spans="1:4" x14ac:dyDescent="0.3">
      <c r="B147" s="160" t="s">
        <v>152</v>
      </c>
      <c r="C147" s="160" t="str">
        <f>IF(OR(C145=0,C146=0),"Позич не здійснює п.д.",IF(C58="I",(C145/C146-1)*100%,(C146/C145-1)*100%))</f>
        <v>Позич не здійснює п.д.</v>
      </c>
    </row>
    <row r="149" spans="1:4" x14ac:dyDescent="0.3">
      <c r="B149" s="160" t="s">
        <v>153</v>
      </c>
    </row>
    <row r="150" spans="1:4" x14ac:dyDescent="0.3">
      <c r="A150" s="160">
        <v>1</v>
      </c>
      <c r="B150" s="160" t="s">
        <v>143</v>
      </c>
      <c r="C150" s="160">
        <f>IF(C142&lt;=0.5,0,IF(C142&lt;=1,600,IF(C142&lt;=1.05,1000,IF(C142&lt;=1.1,1200,IF(C142&lt;=1.15,1400,1500)))))</f>
        <v>1500</v>
      </c>
    </row>
    <row r="151" spans="1:4" x14ac:dyDescent="0.3">
      <c r="A151" s="160">
        <v>2</v>
      </c>
      <c r="B151" s="160" t="s">
        <v>147</v>
      </c>
      <c r="C151" s="160">
        <f>IF(C144&lt;0.5,1250,IF(C144&lt;0.7,1000,IF(C144&lt;0.8,750,IF(C144&lt;1,500,IF(C144&lt;1.3,250,0)))))</f>
        <v>1250</v>
      </c>
    </row>
    <row r="152" spans="1:4" x14ac:dyDescent="0.3">
      <c r="A152" s="160">
        <v>3</v>
      </c>
      <c r="B152" s="160" t="s">
        <v>145</v>
      </c>
      <c r="C152" s="160">
        <f>IF(C143&lt;0.85,1000,IF(C143&lt;0.9,800,IF(C143&lt;0.95,600,IF(C143&lt;1,400,200))))</f>
        <v>1000</v>
      </c>
    </row>
    <row r="153" spans="1:4" x14ac:dyDescent="0.3">
      <c r="A153" s="160">
        <v>4</v>
      </c>
      <c r="B153" s="160" t="s">
        <v>154</v>
      </c>
      <c r="C153" s="160">
        <f>IF(C141&gt;=C139,500,0)</f>
        <v>500</v>
      </c>
    </row>
    <row r="154" spans="1:4" x14ac:dyDescent="0.3">
      <c r="B154" s="160" t="s">
        <v>155</v>
      </c>
    </row>
    <row r="155" spans="1:4" x14ac:dyDescent="0.3">
      <c r="A155" s="160">
        <v>5</v>
      </c>
      <c r="B155" s="160" t="s">
        <v>156</v>
      </c>
      <c r="C155" s="160">
        <f>IF(C24&lt;=35,84,IF(C24&lt;=83,87,IF(C24&lt;=195,92,98)))</f>
        <v>84</v>
      </c>
    </row>
    <row r="156" spans="1:4" x14ac:dyDescent="0.3">
      <c r="A156" s="160">
        <v>6</v>
      </c>
      <c r="B156" s="160" t="s">
        <v>33</v>
      </c>
      <c r="C156" s="160">
        <f>SUM(C157:C160)</f>
        <v>87</v>
      </c>
    </row>
    <row r="157" spans="1:4" x14ac:dyDescent="0.3">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161</v>
      </c>
      <c r="C161" s="160">
        <f ca="1">IF(DATEDIF(H20,TODAY(),"Y")&lt;=25,87,
IF(DATEDIF(H20,TODAY(),"Y")&lt;=40,88,
IF(DATEDIF(H20,TODAY(),"Y")&lt;=48,89,
IF(DATEDIF(H20,TODAY(),"Y")&lt;=55,92,93))))</f>
        <v>88</v>
      </c>
    </row>
    <row r="162" spans="1:3" x14ac:dyDescent="0.3">
      <c r="A162" s="160">
        <v>8</v>
      </c>
      <c r="B162" s="160" t="s">
        <v>162</v>
      </c>
      <c r="C162" s="160">
        <f>SUM(C163:C165)</f>
        <v>92</v>
      </c>
    </row>
    <row r="163" spans="1:3" x14ac:dyDescent="0.3">
      <c r="B163" s="160" t="s">
        <v>157</v>
      </c>
      <c r="C163" s="160">
        <f>IF(AND(H18="не одружений(на)",H19&gt;0),92,
IF(AND(H18="не одружений(на)",H19=0),92,
IF(AND(H18="розлучений(на)",H19&gt;0),92,
IF(AND(H18="не зареєстрований шлюб",H19=0),92,0))))</f>
        <v>92</v>
      </c>
    </row>
    <row r="164" spans="1:3" x14ac:dyDescent="0.3">
      <c r="B164" s="160" t="s">
        <v>158</v>
      </c>
      <c r="C164" s="160">
        <f>IF(AND(H18="вдова/вдівець",H19=0),90,
IF(AND(H18="одружений(на)",H19&gt;0),90,
IF(AND(H18="не зареєстрований шлюб",H19&gt;0),90,0)))</f>
        <v>0</v>
      </c>
    </row>
    <row r="165" spans="1:3" x14ac:dyDescent="0.3">
      <c r="B165" s="160" t="s">
        <v>159</v>
      </c>
      <c r="C165" s="160">
        <f>IF(AND(H18="вдова/вдівець",H19&gt;0),88,
IF(AND(H18="одружений(на)",H19=0),88,
IF(AND(H18="розлучений(на)",H19=0),88,0)))</f>
        <v>0</v>
      </c>
    </row>
    <row r="166" spans="1:3" x14ac:dyDescent="0.3">
      <c r="A166" s="160">
        <v>9</v>
      </c>
      <c r="B166" s="160" t="s">
        <v>163</v>
      </c>
      <c r="C166" s="160">
        <f>IF(C25&lt;=7,200,IF(C25&lt;=30,100,IF(C25&lt;=60,50,IF(C25&lt;=90,25,0))))</f>
        <v>200</v>
      </c>
    </row>
    <row r="167" spans="1:3" x14ac:dyDescent="0.3">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165</v>
      </c>
      <c r="B169" s="160" t="s">
        <v>166</v>
      </c>
      <c r="C169" s="160">
        <f ca="1">SUM(C150:C153)+MIN(0.3/0.7*SUM(C150:C153),C155+C156+C161+C162+C166+C167)</f>
        <v>4974</v>
      </c>
    </row>
    <row r="170" spans="1:3" x14ac:dyDescent="0.3">
      <c r="B170" s="160" t="s">
        <v>167</v>
      </c>
      <c r="C170" s="160">
        <f ca="1">IF(C169&lt;1250,5,IF(C169&lt;2000,4,IF(C169&lt;3000,3,IF(C169&lt;3500,2,1))))</f>
        <v>1</v>
      </c>
    </row>
    <row r="171" spans="1:3" x14ac:dyDescent="0.3">
      <c r="B171" s="160" t="s">
        <v>168</v>
      </c>
      <c r="C171" s="160">
        <f>IF(C143&lt;=0.5,1,IF(C143&lt;=0.6,2,IF(C143&lt;=0.7,3,IF(C143&lt;=0.8,4,5))))</f>
        <v>1</v>
      </c>
    </row>
    <row r="172" spans="1:3" x14ac:dyDescent="0.3">
      <c r="B172" s="160" t="s">
        <v>169</v>
      </c>
      <c r="C172" s="160">
        <f>IF(C25&lt;=7,1,IF(C25&lt;=30,2,IF(C25&lt;=60,3,IF(C25&lt;=90,4,5))))</f>
        <v>1</v>
      </c>
    </row>
    <row r="174" spans="1:3" x14ac:dyDescent="0.3">
      <c r="B174" s="160" t="s">
        <v>170</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5" priority="1" operator="containsText" text="Поручитель неплатоспроможний">
      <formula>NOT(ISERROR(SEARCH("Поручитель неплатоспроможний",C112)))</formula>
    </cfRule>
    <cfRule type="containsText" dxfId="64" priority="2" operator="containsText" text="Поручитель платоспроможний">
      <formula>NOT(ISERROR(SEARCH("Поручитель платоспроможний",C112)))</formula>
    </cfRule>
  </conditionalFormatting>
  <conditionalFormatting sqref="D1">
    <cfRule type="expression" dxfId="63"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87</xdr:col>
                <xdr:colOff>0</xdr:colOff>
                <xdr:row>2</xdr:row>
                <xdr:rowOff>91440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2" width="0" style="160" hidden="1" customWidth="1"/>
    <col min="63" max="16384" width="8.77734375" style="160"/>
  </cols>
  <sheetData>
    <row r="1" spans="1:9" x14ac:dyDescent="0.3">
      <c r="A1" s="160" t="s">
        <v>424</v>
      </c>
      <c r="B1" s="158"/>
      <c r="C1" s="159"/>
      <c r="D1" s="159"/>
      <c r="H1" s="160" t="s">
        <v>425</v>
      </c>
    </row>
    <row r="2" spans="1:9" x14ac:dyDescent="0.3">
      <c r="A2" s="160" t="s">
        <v>426</v>
      </c>
      <c r="B2" s="161" t="s">
        <v>427</v>
      </c>
      <c r="C2" s="162" t="s">
        <v>428</v>
      </c>
      <c r="D2" s="162" t="s">
        <v>429</v>
      </c>
      <c r="E2" s="160" t="s">
        <v>122</v>
      </c>
      <c r="F2" s="160" t="s">
        <v>430</v>
      </c>
      <c r="H2" s="160" t="s">
        <v>431</v>
      </c>
      <c r="I2" s="160" t="s">
        <v>118</v>
      </c>
    </row>
    <row r="3" spans="1:9" x14ac:dyDescent="0.3">
      <c r="A3" s="160">
        <v>1</v>
      </c>
      <c r="B3" s="160" t="s">
        <v>28</v>
      </c>
      <c r="C3" s="163" t="s">
        <v>432</v>
      </c>
      <c r="D3" s="163" t="s">
        <v>433</v>
      </c>
      <c r="E3" s="160">
        <v>1.33</v>
      </c>
    </row>
    <row r="4" spans="1:9" x14ac:dyDescent="0.3">
      <c r="A4" s="160">
        <v>2</v>
      </c>
      <c r="B4" s="160" t="s">
        <v>434</v>
      </c>
      <c r="C4" s="163" t="s">
        <v>435</v>
      </c>
      <c r="D4" s="163" t="s">
        <v>436</v>
      </c>
      <c r="E4" s="160">
        <v>1.19</v>
      </c>
      <c r="F4" s="160" t="s">
        <v>437</v>
      </c>
      <c r="H4" s="160">
        <v>1</v>
      </c>
      <c r="I4" s="160">
        <v>5120.17</v>
      </c>
    </row>
    <row r="5" spans="1:9" x14ac:dyDescent="0.3">
      <c r="A5" s="160">
        <v>3</v>
      </c>
      <c r="B5" s="160" t="s">
        <v>438</v>
      </c>
      <c r="C5" s="163" t="s">
        <v>439</v>
      </c>
      <c r="D5" s="163"/>
      <c r="E5" s="160">
        <v>1.19</v>
      </c>
      <c r="H5" s="160">
        <v>2</v>
      </c>
      <c r="I5" s="160">
        <v>8474.64</v>
      </c>
    </row>
    <row r="6" spans="1:9" x14ac:dyDescent="0.3">
      <c r="A6" s="160">
        <v>4</v>
      </c>
      <c r="B6" s="160" t="s">
        <v>440</v>
      </c>
      <c r="C6" s="163" t="s">
        <v>432</v>
      </c>
      <c r="D6" s="163"/>
      <c r="E6" s="160">
        <v>1.19</v>
      </c>
      <c r="H6" s="160">
        <v>3</v>
      </c>
      <c r="I6" s="160">
        <v>11256.9</v>
      </c>
    </row>
    <row r="7" spans="1:9" x14ac:dyDescent="0.3">
      <c r="A7" s="160">
        <v>5</v>
      </c>
      <c r="B7" s="160" t="s">
        <v>441</v>
      </c>
      <c r="C7" s="163" t="s">
        <v>432</v>
      </c>
      <c r="D7" s="163"/>
      <c r="E7" s="160">
        <v>1.19</v>
      </c>
      <c r="H7" s="160">
        <v>4</v>
      </c>
      <c r="I7" s="160">
        <v>12676.98</v>
      </c>
    </row>
    <row r="8" spans="1:9" x14ac:dyDescent="0.3">
      <c r="A8" s="160">
        <v>6</v>
      </c>
      <c r="B8" s="160" t="s">
        <v>442</v>
      </c>
      <c r="C8" s="163" t="s">
        <v>443</v>
      </c>
      <c r="D8" s="163"/>
      <c r="E8" s="160">
        <v>1.19</v>
      </c>
      <c r="H8" s="160" t="s">
        <v>444</v>
      </c>
      <c r="I8" s="160" t="s">
        <v>445</v>
      </c>
    </row>
    <row r="9" spans="1:9" x14ac:dyDescent="0.3">
      <c r="A9" s="160">
        <v>7</v>
      </c>
      <c r="B9" s="160" t="s">
        <v>446</v>
      </c>
      <c r="C9" s="163" t="s">
        <v>447</v>
      </c>
      <c r="D9" s="163"/>
      <c r="E9" s="160">
        <v>1.19</v>
      </c>
    </row>
    <row r="10" spans="1:9" x14ac:dyDescent="0.3">
      <c r="A10" s="160">
        <v>8</v>
      </c>
      <c r="B10" s="160" t="s">
        <v>448</v>
      </c>
      <c r="C10" s="163" t="s">
        <v>449</v>
      </c>
      <c r="D10" s="163"/>
      <c r="E10" s="160">
        <v>1.19</v>
      </c>
      <c r="H10" s="160" t="s">
        <v>450</v>
      </c>
    </row>
    <row r="11" spans="1:9" x14ac:dyDescent="0.3">
      <c r="A11" s="160">
        <v>9</v>
      </c>
      <c r="B11" s="160" t="s">
        <v>451</v>
      </c>
      <c r="C11" s="160" t="s">
        <v>447</v>
      </c>
      <c r="E11" s="160">
        <v>1.19</v>
      </c>
      <c r="H11" s="160" t="s">
        <v>452</v>
      </c>
      <c r="I11" s="160" t="s">
        <v>453</v>
      </c>
    </row>
    <row r="12" spans="1:9" x14ac:dyDescent="0.3">
      <c r="A12" s="160">
        <v>10</v>
      </c>
      <c r="B12" s="161" t="s">
        <v>454</v>
      </c>
      <c r="C12" s="161" t="s">
        <v>455</v>
      </c>
      <c r="E12" s="160">
        <v>1.19</v>
      </c>
      <c r="H12" s="160" t="s">
        <v>456</v>
      </c>
      <c r="I12" s="160">
        <v>5.0000000000000001E-3</v>
      </c>
    </row>
    <row r="13" spans="1:9" x14ac:dyDescent="0.3">
      <c r="A13" s="160">
        <v>11</v>
      </c>
      <c r="B13" s="160" t="s">
        <v>457</v>
      </c>
      <c r="C13" s="163" t="s">
        <v>458</v>
      </c>
      <c r="E13" s="160">
        <v>1.19</v>
      </c>
      <c r="H13" s="160" t="s">
        <v>459</v>
      </c>
      <c r="I13" s="160">
        <v>0.01</v>
      </c>
    </row>
    <row r="14" spans="1:9" x14ac:dyDescent="0.3">
      <c r="A14" s="160">
        <v>12</v>
      </c>
      <c r="B14" s="160" t="s">
        <v>460</v>
      </c>
      <c r="C14" s="163" t="s">
        <v>439</v>
      </c>
      <c r="E14" s="160">
        <v>1.19</v>
      </c>
      <c r="H14" s="160" t="s">
        <v>461</v>
      </c>
      <c r="I14" s="160">
        <v>2.5000000000000001E-2</v>
      </c>
    </row>
    <row r="15" spans="1:9" x14ac:dyDescent="0.3">
      <c r="A15" s="160">
        <v>13</v>
      </c>
      <c r="B15" s="160" t="s">
        <v>462</v>
      </c>
      <c r="C15" s="163" t="s">
        <v>463</v>
      </c>
      <c r="E15" s="160">
        <v>1.19</v>
      </c>
    </row>
    <row r="16" spans="1:9" x14ac:dyDescent="0.3">
      <c r="A16" s="160">
        <v>14</v>
      </c>
      <c r="B16" s="160" t="s">
        <v>464</v>
      </c>
      <c r="C16" s="163" t="s">
        <v>449</v>
      </c>
      <c r="E16" s="160">
        <v>1.19</v>
      </c>
    </row>
    <row r="17" spans="1:9" x14ac:dyDescent="0.3">
      <c r="A17" s="160">
        <v>15</v>
      </c>
      <c r="B17" s="160" t="s">
        <v>465</v>
      </c>
      <c r="C17" s="163" t="s">
        <v>455</v>
      </c>
      <c r="E17" s="160">
        <v>1.19</v>
      </c>
      <c r="H17" s="160" t="s">
        <v>466</v>
      </c>
    </row>
    <row r="18" spans="1:9" x14ac:dyDescent="0.3">
      <c r="A18" s="160">
        <v>16</v>
      </c>
      <c r="B18" s="160" t="s">
        <v>467</v>
      </c>
      <c r="C18" s="160" t="s">
        <v>447</v>
      </c>
      <c r="E18" s="160">
        <v>1.19</v>
      </c>
      <c r="H18" s="160" t="s">
        <v>468</v>
      </c>
      <c r="I18" s="160" t="s">
        <v>469</v>
      </c>
    </row>
    <row r="19" spans="1:9" x14ac:dyDescent="0.3">
      <c r="A19" s="160">
        <v>17</v>
      </c>
      <c r="B19" s="160" t="s">
        <v>470</v>
      </c>
      <c r="C19" s="160" t="s">
        <v>471</v>
      </c>
      <c r="E19" s="160">
        <v>1.19</v>
      </c>
    </row>
    <row r="20" spans="1:9" x14ac:dyDescent="0.3">
      <c r="A20" s="160">
        <v>18</v>
      </c>
      <c r="B20" s="160" t="s">
        <v>472</v>
      </c>
      <c r="C20" s="160" t="s">
        <v>449</v>
      </c>
      <c r="E20" s="160">
        <v>1.19</v>
      </c>
    </row>
    <row r="21" spans="1:9" x14ac:dyDescent="0.3">
      <c r="A21" s="160">
        <v>19</v>
      </c>
      <c r="B21" s="160" t="s">
        <v>473</v>
      </c>
      <c r="C21" s="160" t="s">
        <v>474</v>
      </c>
      <c r="E21" s="160">
        <v>1.19</v>
      </c>
    </row>
    <row r="22" spans="1:9" x14ac:dyDescent="0.3">
      <c r="A22" s="160">
        <v>20</v>
      </c>
      <c r="B22" s="160" t="s">
        <v>475</v>
      </c>
      <c r="C22" s="160" t="s">
        <v>435</v>
      </c>
      <c r="E22" s="160">
        <v>1.19</v>
      </c>
    </row>
    <row r="23" spans="1:9" x14ac:dyDescent="0.3">
      <c r="A23" s="160">
        <v>21</v>
      </c>
      <c r="B23" s="160" t="s">
        <v>476</v>
      </c>
      <c r="C23" s="160" t="s">
        <v>477</v>
      </c>
      <c r="E23" s="160">
        <v>1.19</v>
      </c>
    </row>
    <row r="24" spans="1:9" x14ac:dyDescent="0.3">
      <c r="A24" s="160">
        <v>22</v>
      </c>
      <c r="B24" s="160" t="s">
        <v>478</v>
      </c>
      <c r="C24" s="160" t="s">
        <v>479</v>
      </c>
      <c r="E24" s="160">
        <v>1.19</v>
      </c>
    </row>
    <row r="25" spans="1:9" x14ac:dyDescent="0.3">
      <c r="A25" s="160">
        <v>23</v>
      </c>
      <c r="B25" s="160" t="s">
        <v>480</v>
      </c>
      <c r="C25" s="160" t="s">
        <v>447</v>
      </c>
      <c r="E25" s="160">
        <v>1.19</v>
      </c>
    </row>
    <row r="26" spans="1:9" x14ac:dyDescent="0.3">
      <c r="A26" s="160">
        <v>24</v>
      </c>
      <c r="B26" s="160" t="s">
        <v>481</v>
      </c>
      <c r="C26" s="160" t="s">
        <v>447</v>
      </c>
      <c r="E26" s="160">
        <v>1.19</v>
      </c>
    </row>
    <row r="27" spans="1:9" x14ac:dyDescent="0.3">
      <c r="A27" s="160">
        <v>25</v>
      </c>
      <c r="B27" s="160" t="s">
        <v>482</v>
      </c>
      <c r="C27" s="160" t="s">
        <v>439</v>
      </c>
      <c r="E27" s="160">
        <v>1.19</v>
      </c>
    </row>
    <row r="28" spans="1:9" x14ac:dyDescent="0.3">
      <c r="A28" s="160">
        <v>26</v>
      </c>
      <c r="B28" s="160" t="s">
        <v>483</v>
      </c>
      <c r="C28" s="160" t="s">
        <v>484</v>
      </c>
      <c r="E28" s="160">
        <v>1.19</v>
      </c>
    </row>
    <row r="29" spans="1:9" x14ac:dyDescent="0.3">
      <c r="A29" s="160">
        <v>27</v>
      </c>
      <c r="B29" s="160" t="s">
        <v>485</v>
      </c>
      <c r="C29" s="160" t="s">
        <v>449</v>
      </c>
      <c r="E29" s="160">
        <v>1.19</v>
      </c>
    </row>
    <row r="30" spans="1:9" x14ac:dyDescent="0.3">
      <c r="A30" s="160">
        <v>28</v>
      </c>
      <c r="B30" s="160" t="s">
        <v>486</v>
      </c>
      <c r="C30" s="160" t="s">
        <v>487</v>
      </c>
      <c r="E30" s="160">
        <v>1.19</v>
      </c>
    </row>
    <row r="31" spans="1:9" x14ac:dyDescent="0.3">
      <c r="A31" s="160">
        <v>29</v>
      </c>
      <c r="B31" s="160" t="s">
        <v>488</v>
      </c>
      <c r="C31" s="160" t="s">
        <v>449</v>
      </c>
      <c r="E31" s="160">
        <v>1.19</v>
      </c>
    </row>
    <row r="32" spans="1:9" x14ac:dyDescent="0.3">
      <c r="A32" s="160">
        <v>30</v>
      </c>
      <c r="B32" s="160" t="s">
        <v>489</v>
      </c>
      <c r="C32" s="160" t="s">
        <v>471</v>
      </c>
      <c r="E32" s="160">
        <v>1.19</v>
      </c>
    </row>
    <row r="33" spans="1:6" x14ac:dyDescent="0.3">
      <c r="A33" s="160">
        <v>31</v>
      </c>
      <c r="B33" s="160" t="s">
        <v>490</v>
      </c>
      <c r="C33" s="160" t="s">
        <v>491</v>
      </c>
      <c r="E33" s="160">
        <v>1.19</v>
      </c>
    </row>
    <row r="34" spans="1:6" x14ac:dyDescent="0.3">
      <c r="A34" s="160">
        <v>32</v>
      </c>
      <c r="B34" s="160" t="s">
        <v>492</v>
      </c>
      <c r="C34" s="160" t="s">
        <v>493</v>
      </c>
      <c r="E34" s="160">
        <v>1.19</v>
      </c>
    </row>
    <row r="35" spans="1:6" x14ac:dyDescent="0.3">
      <c r="A35" s="160">
        <v>33</v>
      </c>
      <c r="B35" s="160" t="s">
        <v>494</v>
      </c>
      <c r="C35" s="160" t="s">
        <v>435</v>
      </c>
      <c r="E35" s="160">
        <v>1.19</v>
      </c>
    </row>
    <row r="36" spans="1:6" x14ac:dyDescent="0.3">
      <c r="A36" s="160">
        <v>34</v>
      </c>
      <c r="B36" s="160" t="s">
        <v>495</v>
      </c>
      <c r="C36" s="160" t="s">
        <v>455</v>
      </c>
      <c r="E36" s="160">
        <v>1.19</v>
      </c>
    </row>
    <row r="37" spans="1:6" x14ac:dyDescent="0.3">
      <c r="A37" s="160">
        <v>35</v>
      </c>
      <c r="B37" s="160" t="s">
        <v>496</v>
      </c>
      <c r="C37" s="160" t="s">
        <v>447</v>
      </c>
      <c r="E37" s="160">
        <v>1.19</v>
      </c>
    </row>
    <row r="38" spans="1:6" x14ac:dyDescent="0.3">
      <c r="A38" s="160">
        <v>36</v>
      </c>
      <c r="B38" s="160" t="s">
        <v>497</v>
      </c>
      <c r="C38" s="160" t="s">
        <v>498</v>
      </c>
      <c r="E38" s="160">
        <v>1.19</v>
      </c>
    </row>
    <row r="39" spans="1:6" x14ac:dyDescent="0.3">
      <c r="A39" s="160">
        <v>37</v>
      </c>
      <c r="B39" s="160" t="s">
        <v>499</v>
      </c>
      <c r="C39" s="160" t="s">
        <v>500</v>
      </c>
      <c r="E39" s="160">
        <v>1.19</v>
      </c>
    </row>
    <row r="40" spans="1:6" x14ac:dyDescent="0.3">
      <c r="A40" s="160">
        <v>38</v>
      </c>
      <c r="B40" s="160" t="s">
        <v>501</v>
      </c>
      <c r="C40" s="160" t="s">
        <v>502</v>
      </c>
      <c r="E40" s="160">
        <v>1.19</v>
      </c>
    </row>
    <row r="41" spans="1:6" x14ac:dyDescent="0.3">
      <c r="A41" s="160">
        <v>39</v>
      </c>
      <c r="B41" s="160" t="s">
        <v>503</v>
      </c>
      <c r="C41" s="160" t="s">
        <v>504</v>
      </c>
      <c r="E41" s="160">
        <v>1.19</v>
      </c>
    </row>
    <row r="42" spans="1:6" x14ac:dyDescent="0.3">
      <c r="A42" s="160">
        <v>40</v>
      </c>
      <c r="B42" s="160" t="s">
        <v>505</v>
      </c>
      <c r="C42" s="160" t="s">
        <v>506</v>
      </c>
      <c r="E42" s="160">
        <v>1.19</v>
      </c>
    </row>
    <row r="43" spans="1:6" x14ac:dyDescent="0.3">
      <c r="A43" s="160">
        <v>41</v>
      </c>
      <c r="B43" s="160" t="s">
        <v>507</v>
      </c>
      <c r="C43" s="160" t="s">
        <v>508</v>
      </c>
      <c r="E43" s="160">
        <v>1.19</v>
      </c>
    </row>
    <row r="44" spans="1:6" x14ac:dyDescent="0.3">
      <c r="A44" s="160">
        <v>42</v>
      </c>
      <c r="B44" s="160" t="s">
        <v>509</v>
      </c>
      <c r="C44" s="160" t="s">
        <v>510</v>
      </c>
      <c r="E44" s="160">
        <v>1.19</v>
      </c>
    </row>
    <row r="45" spans="1:6" x14ac:dyDescent="0.3">
      <c r="A45" s="160">
        <v>43</v>
      </c>
      <c r="B45" s="160" t="s">
        <v>511</v>
      </c>
      <c r="C45" s="160" t="s">
        <v>512</v>
      </c>
      <c r="E45" s="160">
        <v>1.19</v>
      </c>
    </row>
    <row r="46" spans="1:6" x14ac:dyDescent="0.3">
      <c r="A46" s="160">
        <v>44</v>
      </c>
      <c r="B46" s="160" t="s">
        <v>513</v>
      </c>
      <c r="C46" s="160" t="s">
        <v>514</v>
      </c>
      <c r="E46" s="160">
        <v>1.19</v>
      </c>
    </row>
    <row r="47" spans="1:6" x14ac:dyDescent="0.3">
      <c r="A47" s="160">
        <v>45</v>
      </c>
      <c r="B47" s="160" t="s">
        <v>515</v>
      </c>
      <c r="C47" s="160" t="s">
        <v>516</v>
      </c>
      <c r="D47" s="160" t="s">
        <v>517</v>
      </c>
      <c r="E47" s="160">
        <v>1</v>
      </c>
      <c r="F47" s="160" t="s">
        <v>518</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76" width="0" style="160" hidden="1" customWidth="1"/>
    <col min="77" max="16384" width="8.77734375" style="160"/>
  </cols>
  <sheetData>
    <row r="1" spans="1:15" x14ac:dyDescent="0.3">
      <c r="A1" s="160" t="s">
        <v>171</v>
      </c>
      <c r="B1" s="158">
        <f>((E1*POWER(1+(E2/12),E3)*(E2/12)))/(POWER(1+(E2/12),E3)-1)</f>
        <v>116583.33333333333</v>
      </c>
      <c r="C1" s="159">
        <f>PMT(E2/12,E3,-E1)</f>
        <v>116583.33333333333</v>
      </c>
      <c r="D1" s="159" t="s">
        <v>172</v>
      </c>
      <c r="E1" s="160">
        <f>'Платоспроможність боржника'!C135</f>
        <v>100000</v>
      </c>
      <c r="H1" s="160" t="s">
        <v>173</v>
      </c>
      <c r="J1" s="160">
        <f ca="1">TODAY()</f>
        <v>46043</v>
      </c>
      <c r="O1" s="160" t="s">
        <v>174</v>
      </c>
    </row>
    <row r="2" spans="1:15" x14ac:dyDescent="0.3">
      <c r="A2" s="160" t="s">
        <v>175</v>
      </c>
      <c r="B2" s="161">
        <f>E1*(E2/12)</f>
        <v>116583.33333333333</v>
      </c>
      <c r="C2" s="162">
        <f>IPMT(E2/12,1,E3,-(E1))</f>
        <v>116583.33333333333</v>
      </c>
      <c r="D2" s="162" t="s">
        <v>176</v>
      </c>
      <c r="E2" s="160">
        <f>'Платоспроможність боржника'!H6</f>
        <v>13.99</v>
      </c>
      <c r="F2" s="160" t="s">
        <v>177</v>
      </c>
      <c r="G2" s="160" t="s">
        <v>178</v>
      </c>
      <c r="H2" s="160" t="s">
        <v>179</v>
      </c>
    </row>
    <row r="3" spans="1:15" x14ac:dyDescent="0.3">
      <c r="A3" s="160" t="s">
        <v>180</v>
      </c>
      <c r="B3" s="160">
        <f>B1-B2</f>
        <v>0</v>
      </c>
      <c r="C3" s="163">
        <f>PPMT(E2/12,1,E3,-E1)</f>
        <v>8.49443429190391E-16</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3">
      <c r="A4" s="160" t="s">
        <v>189</v>
      </c>
      <c r="C4" s="163">
        <f ca="1">TODAY()</f>
        <v>46043</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3">
      <c r="A5" s="160" t="s">
        <v>193</v>
      </c>
      <c r="B5" s="160">
        <v>1</v>
      </c>
      <c r="C5" s="163">
        <v>1</v>
      </c>
      <c r="D5" s="163" t="s">
        <v>194</v>
      </c>
      <c r="E5" s="160" t="s">
        <v>195</v>
      </c>
      <c r="F5" s="160">
        <f ca="1">IF(G5="Всього:","",IF(AND(G5&gt;$B$9,G5&lt;=$B$10),$C$16,IF(AND(G5&gt;$B$9,G5&lt;=$B$11),$D$16,IF(AND(G5&gt;$B$10,G5&lt;=$B$14),$E$16,$B$16))))</f>
        <v>13.99</v>
      </c>
      <c r="G5" s="160">
        <f ca="1">IF(AND(DAY(C4)&lt;=15,$B$7&gt;DAY(C4)),DATE(YEAR(C4),MONTH(C4),IF($B$7&lt;&gt;"",DAY(IF($B$7&gt;DAY(EOMONTH(C4,0)),EOMONTH(C4,0),$B$7)),DAY(1))),DATE(YEAR(C4),MONTH(C4)+1,IF($B$7&lt;&gt;"",DAY(IF($B$7&gt;DAY(EOMONTH(C4,1)),EOMONTH(C4,1),$B$7)),DAY(1))))</f>
        <v>46054</v>
      </c>
      <c r="H5" s="160">
        <f ca="1">IF(H4&gt;$E$8,"",H4+1)</f>
        <v>1</v>
      </c>
      <c r="I5" s="160">
        <f ca="1">IF($G5="Всього:",SUM($I$4:I4),IF(AND(DAY($C$4)&gt;=15,H5=1),K5+L5,$C$32))</f>
        <v>427.47222222222223</v>
      </c>
      <c r="J5" s="160">
        <f ca="1">IF($G5="Всього:",SUM($J$4:J4),IF(DAY(C4)&gt;15,0,IF(I5-SUM(K5:L5)&lt;0,0,I5-SUM(K5:L5))))</f>
        <v>0</v>
      </c>
      <c r="K5" s="160">
        <f ca="1">$E$1*F5*(G5-$C$4)/36000</f>
        <v>427.47222222222223</v>
      </c>
      <c r="L5" s="160">
        <f>$E$4</f>
        <v>0</v>
      </c>
      <c r="M5" s="160">
        <f ca="1">IF($E$5="UAH",J5+L5+K5,J5+K5)</f>
        <v>427.47222222222223</v>
      </c>
      <c r="N5" s="160" t="str">
        <f>IF($E$5="UAH","",L5)</f>
        <v/>
      </c>
      <c r="O5" s="160">
        <f t="shared" ref="O5:O68" ca="1" si="0">O4-J5</f>
        <v>100000</v>
      </c>
    </row>
    <row r="6" spans="1:15" x14ac:dyDescent="0.3">
      <c r="A6" s="160" t="s">
        <v>196</v>
      </c>
      <c r="C6" s="163">
        <f>IF(E5="EUR",C1*E7,IF(E5="USD",C1*E6,C1))</f>
        <v>116583.33333333333</v>
      </c>
      <c r="D6" s="163"/>
      <c r="F6" s="160">
        <f t="shared" ref="F6:F69" ca="1" si="1">IF(G6="Всього:","",IF(AND(G6&gt;$B$9,G6&lt;=$B$10),$C$16,IF(AND(G6&gt;$B$9,G6&lt;=$B$11),$D$16,IF(AND(G6&gt;$B$10,G6&lt;=$B$14),$E$16,$B$16))))</f>
        <v>13.99</v>
      </c>
      <c r="G6" s="160">
        <f ca="1">IF(H5=$E$8,"Всього:",IF($E$3+1=H6,$B$14,DATE(YEAR(G5),MONTH(G5)+1,IF($B$7&lt;&gt;"",DAY(IF($B$7&gt;DAY(EOMONTH(G5,1)),EOMONTH(G5,1),$B$7)),DAY(1)))))</f>
        <v>46082</v>
      </c>
      <c r="H6" s="160">
        <f t="shared" ref="H6:H69" ca="1" si="2">IF(H5&gt;$E$8,"",H5+1)</f>
        <v>2</v>
      </c>
      <c r="I6" s="160">
        <f ca="1">IF($G6="Всього:",SUM($I$4:I5),IF(AND(DAY($C$4)&gt;=15,H6=1),K6+L6,$C$32))</f>
        <v>3804</v>
      </c>
      <c r="J6" s="160">
        <f ca="1">IF($G6="Всього:",SUM($J$4:J5),IF(I6-SUM(K6:L6)&lt;0,0,I6-SUM(K6:L6)))</f>
        <v>2715.8888888888887</v>
      </c>
      <c r="K6" s="160">
        <f ca="1">IF(G6="Всього:",SUM($K$5:K5),IF(F6&lt;&gt;F5,(F6*O5/36000*(G6-CONCATENATE(DAY($C$4),".",MONTH(G5),".",YEAR(G5)))+(F5*O5/36000*(CONCATENATE(DAY($C$4),".",MONTH(G5),".",YEAR(G5))-G5))),F6*O5/36000*(G6-G5)))</f>
        <v>1088.1111111111113</v>
      </c>
      <c r="L6" s="160">
        <f ca="1">IF(G6="Всього:",SUM($L$5:L5),$E$4)</f>
        <v>0</v>
      </c>
      <c r="M6" s="160">
        <f ca="1">IF(G6="Всього:",SUM($M$5:M5),IF($E$5="UAH",J6+L6+K6,J6+K6))</f>
        <v>3804</v>
      </c>
      <c r="N6" s="160" t="str">
        <f ca="1">IF(G6="Всього:",SUM($N$4:N5),IF($E$5="UAH","",L6))</f>
        <v/>
      </c>
      <c r="O6" s="160">
        <f t="shared" ca="1" si="0"/>
        <v>97284.111111111109</v>
      </c>
    </row>
    <row r="7" spans="1:15" x14ac:dyDescent="0.3">
      <c r="A7" s="160" t="s">
        <v>197</v>
      </c>
      <c r="B7" s="160">
        <v>1</v>
      </c>
      <c r="C7" s="163"/>
      <c r="D7" s="163"/>
      <c r="F7" s="160">
        <f t="shared" ca="1" si="1"/>
        <v>13.99</v>
      </c>
      <c r="G7" s="160">
        <f t="shared" ref="G7:G70" ca="1" si="3">IF(H6=$E$8,"Всього:",IF($E$3+1=H7,$B$14,DATE(YEAR(G6),MONTH(G6)+1,IF($B$7&lt;&gt;"",DAY(IF($B$7&gt;DAY(EOMONTH(G6,1)),EOMONTH(G6,1),$B$7)),DAY(1)))))</f>
        <v>46113</v>
      </c>
      <c r="H7" s="160">
        <f t="shared" ca="1" si="2"/>
        <v>3</v>
      </c>
      <c r="I7" s="160">
        <f ca="1">IF($G7="Всього:",SUM($I$4:I6),IF(AND(DAY($C$4)&gt;=15,H7=1),K7+L7,$C$32))</f>
        <v>3804</v>
      </c>
      <c r="J7" s="160">
        <f ca="1">IF($G7="Всього:",SUM($J$4:J6),IF(I7-SUM(K7:L7)&lt;0,0,I7-SUM(K7:L7)))</f>
        <v>2632.0237181172838</v>
      </c>
      <c r="K7" s="160">
        <f ca="1">IF(G7="Всього:",SUM($K$5:K6),IF(F7&lt;&gt;F6,(F7*O6/36000*(G7-CONCATENATE(DAY($C$4),".",MONTH(G6),".",YEAR(G6)))+(F6*O6/36000*(CONCATENATE(DAY($C$4),".",MONTH(G6),".",YEAR(G6))-G6))),F7*O6/36000*(G7-G6)))</f>
        <v>1171.9762818827162</v>
      </c>
      <c r="L7" s="160">
        <f ca="1">IF(G7="Всього:",SUM($L$5:L6),$E$4)</f>
        <v>0</v>
      </c>
      <c r="M7" s="160">
        <f ca="1">IF(G7="Всього:",SUM($M$5:M6),IF($E$5="UAH",J7+L7+K7,J7+K7))</f>
        <v>3804</v>
      </c>
      <c r="N7" s="160" t="str">
        <f ca="1">IF(G7="Всього:",SUM($N$4:N6),IF($E$5="UAH","",L7))</f>
        <v/>
      </c>
      <c r="O7" s="160">
        <f t="shared" ca="1" si="0"/>
        <v>94652.087392993824</v>
      </c>
    </row>
    <row r="8" spans="1:15" x14ac:dyDescent="0.3">
      <c r="A8" s="160" t="s">
        <v>198</v>
      </c>
      <c r="B8" s="160">
        <f ca="1">C4</f>
        <v>46043</v>
      </c>
      <c r="C8" s="163"/>
      <c r="D8" s="163" t="s">
        <v>199</v>
      </c>
      <c r="E8" s="160">
        <f ca="1">IF(DAY(C4)&gt;=15,E3+1,E3+1)</f>
        <v>61</v>
      </c>
      <c r="F8" s="160">
        <f t="shared" ca="1" si="1"/>
        <v>13.99</v>
      </c>
      <c r="G8" s="160">
        <f t="shared" ca="1" si="3"/>
        <v>46143</v>
      </c>
      <c r="H8" s="160">
        <f t="shared" ca="1" si="2"/>
        <v>4</v>
      </c>
      <c r="I8" s="160">
        <f ca="1">IF($G8="Всього:",SUM($I$4:I7),IF(AND(DAY($C$4)&gt;=15,H8=1),K8+L8,$C$32))</f>
        <v>3804</v>
      </c>
      <c r="J8" s="160">
        <f ca="1">IF($G8="Всього:",SUM($J$4:J7),IF(I8-SUM(K8:L8)&lt;0,0,I8-SUM(K8:L8)))</f>
        <v>2700.51441447668</v>
      </c>
      <c r="K8" s="160">
        <f ca="1">IF(G8="Всього:",SUM($K$5:K7),IF(F8&lt;&gt;F7,(F8*O7/36000*(G8-CONCATENATE(DAY($C$4),".",MONTH(G7),".",YEAR(G7)))+(F7*O7/36000*(CONCATENATE(DAY($C$4),".",MONTH(G7),".",YEAR(G7))-G7))),F8*O7/36000*(G8-G7)))</f>
        <v>1103.4855855233197</v>
      </c>
      <c r="L8" s="160">
        <f ca="1">IF(G8="Всього:",SUM($L$5:L7),$E$4)</f>
        <v>0</v>
      </c>
      <c r="M8" s="160">
        <f ca="1">IF(G8="Всього:",SUM($M$5:M7),IF($E$5="UAH",J8+L8+K8,J8+K8))</f>
        <v>3804</v>
      </c>
      <c r="N8" s="160" t="str">
        <f ca="1">IF(G8="Всього:",SUM($N$4:N7),IF($E$5="UAH","",L8))</f>
        <v/>
      </c>
      <c r="O8" s="160">
        <f t="shared" ca="1" si="0"/>
        <v>91951.572978517142</v>
      </c>
    </row>
    <row r="9" spans="1:15" x14ac:dyDescent="0.3">
      <c r="A9" s="160" t="s">
        <v>200</v>
      </c>
      <c r="B9" s="160">
        <f ca="1">IF('Платоспроможність боржника'!H7="",B14,EDATE($C$4,'Платоспроможність боржника'!$H$7))</f>
        <v>47868</v>
      </c>
      <c r="C9" s="163"/>
      <c r="D9" s="163"/>
      <c r="F9" s="160">
        <f t="shared" ca="1" si="1"/>
        <v>13.99</v>
      </c>
      <c r="G9" s="160">
        <f t="shared" ca="1" si="3"/>
        <v>46174</v>
      </c>
      <c r="H9" s="160">
        <f t="shared" ca="1" si="2"/>
        <v>5</v>
      </c>
      <c r="I9" s="160">
        <f ca="1">IF($G9="Всього:",SUM($I$4:I8),IF(AND(DAY($C$4)&gt;=15,H9=1),K9+L9,$C$32))</f>
        <v>3804</v>
      </c>
      <c r="J9" s="160">
        <f ca="1">IF($G9="Всього:",SUM($J$4:J8),IF(I9-SUM(K9:L9)&lt;0,0,I9-SUM(K9:L9)))</f>
        <v>2696.2645087485253</v>
      </c>
      <c r="K9" s="160">
        <f ca="1">IF(G9="Всього:",SUM($K$5:K8),IF(F9&lt;&gt;F8,(F9*O8/36000*(G9-CONCATENATE(DAY($C$4),".",MONTH(G8),".",YEAR(G8)))+(F8*O8/36000*(CONCATENATE(DAY($C$4),".",MONTH(G8),".",YEAR(G8))-G8))),F9*O8/36000*(G9-G8)))</f>
        <v>1107.735491251475</v>
      </c>
      <c r="L9" s="160">
        <f ca="1">IF(G9="Всього:",SUM($L$5:L8),$E$4)</f>
        <v>0</v>
      </c>
      <c r="M9" s="160">
        <f ca="1">IF(G9="Всього:",SUM($M$5:M8),IF($E$5="UAH",J9+L9+K9,J9+K9))</f>
        <v>3804</v>
      </c>
      <c r="N9" s="160" t="str">
        <f ca="1">IF(G9="Всього:",SUM($N$4:N8),IF($E$5="UAH","",L9))</f>
        <v/>
      </c>
      <c r="O9" s="160">
        <f t="shared" ca="1" si="0"/>
        <v>89255.308469768614</v>
      </c>
    </row>
    <row r="10" spans="1:15" x14ac:dyDescent="0.3">
      <c r="A10" s="160" t="s">
        <v>201</v>
      </c>
      <c r="B10" s="160">
        <f ca="1">IF('Платоспроможність боржника'!I7="",B14,EDATE($C$4,'Платоспроможність боржника'!$H$7+'Платоспроможність боржника'!$I$7))</f>
        <v>47868</v>
      </c>
      <c r="C10" s="163"/>
      <c r="D10" s="163"/>
      <c r="F10" s="160">
        <f t="shared" ca="1" si="1"/>
        <v>13.99</v>
      </c>
      <c r="G10" s="160">
        <f t="shared" ca="1" si="3"/>
        <v>46204</v>
      </c>
      <c r="H10" s="160">
        <f t="shared" ca="1" si="2"/>
        <v>6</v>
      </c>
      <c r="I10" s="160">
        <f ca="1">IF($G10="Всього:",SUM($I$4:I9),IF(AND(DAY($C$4)&gt;=15,H10=1),K10+L10,$C$32))</f>
        <v>3804</v>
      </c>
      <c r="J10" s="160">
        <f ca="1">IF($G10="Всього:",SUM($J$4:J9),IF(I10-SUM(K10:L10)&lt;0,0,I10-SUM(K10:L10)))</f>
        <v>2763.4318620899476</v>
      </c>
      <c r="K10" s="160">
        <f ca="1">IF(G10="Всього:",SUM($K$5:K9),IF(F10&lt;&gt;F9,(F10*O9/36000*(G10-CONCATENATE(DAY($C$4),".",MONTH(G9),".",YEAR(G9)))+(F9*O9/36000*(CONCATENATE(DAY($C$4),".",MONTH(G9),".",YEAR(G9))-G9))),F10*O9/36000*(G10-G9)))</f>
        <v>1040.5681379100524</v>
      </c>
      <c r="L10" s="160">
        <f ca="1">IF(G10="Всього:",SUM($L$5:L9),$E$4)</f>
        <v>0</v>
      </c>
      <c r="M10" s="160">
        <f ca="1">IF(G10="Всього:",SUM($M$5:M9),IF($E$5="UAH",J10+L10+K10,J10+K10))</f>
        <v>3804</v>
      </c>
      <c r="N10" s="160" t="str">
        <f ca="1">IF(G10="Всього:",SUM($N$4:N9),IF($E$5="UAH","",L10))</f>
        <v/>
      </c>
      <c r="O10" s="160">
        <f t="shared" ca="1" si="0"/>
        <v>86491.876607678671</v>
      </c>
    </row>
    <row r="11" spans="1:15" x14ac:dyDescent="0.3">
      <c r="A11" s="160" t="s">
        <v>202</v>
      </c>
      <c r="B11" s="160">
        <f ca="1">IF('Платоспроможність боржника'!J7="",B14,EDATE($C$4,'Платоспроможність боржника'!$H$7+'Платоспроможність боржника'!$I$7+'Платоспроможність боржника'!$J$7))</f>
        <v>47868</v>
      </c>
      <c r="F11" s="160">
        <f t="shared" ca="1" si="1"/>
        <v>13.99</v>
      </c>
      <c r="G11" s="160">
        <f t="shared" ca="1" si="3"/>
        <v>46235</v>
      </c>
      <c r="H11" s="160">
        <f t="shared" ca="1" si="2"/>
        <v>7</v>
      </c>
      <c r="I11" s="160">
        <f ca="1">IF($G11="Всього:",SUM($I$4:I10),IF(AND(DAY($C$4)&gt;=15,H11=1),K11+L11,$C$32))</f>
        <v>3804</v>
      </c>
      <c r="J11" s="160">
        <f ca="1">IF($G11="Всього:",SUM($J$4:J10),IF(I11-SUM(K11:L11)&lt;0,0,I11-SUM(K11:L11)))</f>
        <v>2762.037167611551</v>
      </c>
      <c r="K11" s="160">
        <f ca="1">IF(G11="Всього:",SUM($K$5:K10),IF(F11&lt;&gt;F10,(F11*O10/36000*(G11-CONCATENATE(DAY($C$4),".",MONTH(G10),".",YEAR(G10)))+(F10*O10/36000*(CONCATENATE(DAY($C$4),".",MONTH(G10),".",YEAR(G10))-G10))),F11*O10/36000*(G11-G10)))</f>
        <v>1041.962832388449</v>
      </c>
      <c r="L11" s="160">
        <f ca="1">IF(G11="Всього:",SUM($L$5:L10),$E$4)</f>
        <v>0</v>
      </c>
      <c r="M11" s="160">
        <f ca="1">IF(G11="Всього:",SUM($M$5:M10),IF($E$5="UAH",J11+L11+K11,J11+K11))</f>
        <v>3804</v>
      </c>
      <c r="N11" s="160" t="str">
        <f ca="1">IF(G11="Всього:",SUM($N$4:N10),IF($E$5="UAH","",L11))</f>
        <v/>
      </c>
      <c r="O11" s="160">
        <f t="shared" ca="1" si="0"/>
        <v>83729.839440067124</v>
      </c>
    </row>
    <row r="12" spans="1:15" x14ac:dyDescent="0.3">
      <c r="B12" s="161"/>
      <c r="C12" s="161"/>
      <c r="F12" s="160">
        <f t="shared" ca="1" si="1"/>
        <v>13.99</v>
      </c>
      <c r="G12" s="160">
        <f t="shared" ca="1" si="3"/>
        <v>46266</v>
      </c>
      <c r="H12" s="160">
        <f t="shared" ca="1" si="2"/>
        <v>8</v>
      </c>
      <c r="I12" s="160">
        <f ca="1">IF($G12="Всього:",SUM($I$4:I11),IF(AND(DAY($C$4)&gt;=15,H12=1),K12+L12,$C$32))</f>
        <v>3804</v>
      </c>
      <c r="J12" s="160">
        <f ca="1">IF($G12="Всього:",SUM($J$4:J11),IF(I12-SUM(K12:L12)&lt;0,0,I12-SUM(K12:L12)))</f>
        <v>2795.3112759232581</v>
      </c>
      <c r="K12" s="160">
        <f ca="1">IF(G12="Всього:",SUM($K$5:K11),IF(F12&lt;&gt;F11,(F12*O11/36000*(G12-CONCATENATE(DAY($C$4),".",MONTH(G11),".",YEAR(G11)))+(F11*O11/36000*(CONCATENATE(DAY($C$4),".",MONTH(G11),".",YEAR(G11))-G11))),F12*O11/36000*(G12-G11)))</f>
        <v>1008.688724076742</v>
      </c>
      <c r="L12" s="160">
        <f ca="1">IF(G12="Всього:",SUM($L$5:L11),$E$4)</f>
        <v>0</v>
      </c>
      <c r="M12" s="160">
        <f ca="1">IF(G12="Всього:",SUM($M$5:M11),IF($E$5="UAH",J12+L12+K12,J12+K12))</f>
        <v>3804</v>
      </c>
      <c r="N12" s="160" t="str">
        <f ca="1">IF(G12="Всього:",SUM($N$4:N11),IF($E$5="UAH","",L12))</f>
        <v/>
      </c>
      <c r="O12" s="160">
        <f t="shared" ca="1" si="0"/>
        <v>80934.528164143863</v>
      </c>
    </row>
    <row r="13" spans="1:15" x14ac:dyDescent="0.3">
      <c r="C13" s="163"/>
      <c r="F13" s="160">
        <f t="shared" ca="1" si="1"/>
        <v>13.99</v>
      </c>
      <c r="G13" s="160">
        <f t="shared" ca="1" si="3"/>
        <v>46296</v>
      </c>
      <c r="H13" s="160">
        <f t="shared" ca="1" si="2"/>
        <v>9</v>
      </c>
      <c r="I13" s="160">
        <f ca="1">IF($G13="Всього:",SUM($I$4:I12),IF(AND(DAY($C$4)&gt;=15,H13=1),K13+L13,$C$32))</f>
        <v>3804</v>
      </c>
      <c r="J13" s="160">
        <f ca="1">IF($G13="Всього:",SUM($J$4:J12),IF(I13-SUM(K13:L13)&lt;0,0,I13-SUM(K13:L13)))</f>
        <v>2860.4382924863557</v>
      </c>
      <c r="K13" s="160">
        <f ca="1">IF(G13="Всього:",SUM($K$5:K12),IF(F13&lt;&gt;F12,(F13*O12/36000*(G13-CONCATENATE(DAY($C$4),".",MONTH(G12),".",YEAR(G12)))+(F12*O12/36000*(CONCATENATE(DAY($C$4),".",MONTH(G12),".",YEAR(G12))-G12))),F13*O12/36000*(G13-G12)))</f>
        <v>943.56170751364402</v>
      </c>
      <c r="L13" s="160">
        <f ca="1">IF(G13="Всього:",SUM($L$5:L12),$E$4)</f>
        <v>0</v>
      </c>
      <c r="M13" s="160">
        <f ca="1">IF(G13="Всього:",SUM($M$5:M12),IF($E$5="UAH",J13+L13+K13,J13+K13))</f>
        <v>3804</v>
      </c>
      <c r="N13" s="160" t="str">
        <f ca="1">IF(G13="Всього:",SUM($N$4:N12),IF($E$5="UAH","",L13))</f>
        <v/>
      </c>
      <c r="O13" s="160">
        <f t="shared" ca="1" si="0"/>
        <v>78074.089871657503</v>
      </c>
    </row>
    <row r="14" spans="1:15" x14ac:dyDescent="0.3">
      <c r="A14" s="160" t="s">
        <v>203</v>
      </c>
      <c r="B14" s="160">
        <f ca="1">EDATE($C$4,$E$3)-1</f>
        <v>47868</v>
      </c>
      <c r="C14" s="163"/>
      <c r="F14" s="160">
        <f t="shared" ca="1" si="1"/>
        <v>13.99</v>
      </c>
      <c r="G14" s="160">
        <f t="shared" ca="1" si="3"/>
        <v>46327</v>
      </c>
      <c r="H14" s="160">
        <f t="shared" ca="1" si="2"/>
        <v>10</v>
      </c>
      <c r="I14" s="160">
        <f ca="1">IF($G14="Всього:",SUM($I$4:I13),IF(AND(DAY($C$4)&gt;=15,H14=1),K14+L14,$C$32))</f>
        <v>3804</v>
      </c>
      <c r="J14" s="160">
        <f ca="1">IF($G14="Всього:",SUM($J$4:J13),IF(I14-SUM(K14:L14)&lt;0,0,I14-SUM(K14:L14)))</f>
        <v>2863.4457767655795</v>
      </c>
      <c r="K14" s="160">
        <f ca="1">IF(G14="Всього:",SUM($K$5:K13),IF(F14&lt;&gt;F13,(F14*O13/36000*(G14-CONCATENATE(DAY($C$4),".",MONTH(G13),".",YEAR(G13)))+(F13*O13/36000*(CONCATENATE(DAY($C$4),".",MONTH(G13),".",YEAR(G13))-G13))),F14*O13/36000*(G14-G13)))</f>
        <v>940.55422323442065</v>
      </c>
      <c r="L14" s="160">
        <f ca="1">IF(G14="Всього:",SUM($L$5:L13),$E$4)</f>
        <v>0</v>
      </c>
      <c r="M14" s="160">
        <f ca="1">IF(G14="Всього:",SUM($M$5:M13),IF($E$5="UAH",J14+L14+K14,J14+K14))</f>
        <v>3804</v>
      </c>
      <c r="N14" s="160" t="str">
        <f ca="1">IF(G14="Всього:",SUM($N$4:N13),IF($E$5="UAH","",L14))</f>
        <v/>
      </c>
      <c r="O14" s="160">
        <f t="shared" ca="1" si="0"/>
        <v>75210.644094891919</v>
      </c>
    </row>
    <row r="15" spans="1:15" x14ac:dyDescent="0.3">
      <c r="C15" s="163"/>
      <c r="F15" s="160">
        <f t="shared" ca="1" si="1"/>
        <v>13.99</v>
      </c>
      <c r="G15" s="160">
        <f t="shared" ca="1" si="3"/>
        <v>46357</v>
      </c>
      <c r="H15" s="160">
        <f t="shared" ca="1" si="2"/>
        <v>11</v>
      </c>
      <c r="I15" s="160">
        <f ca="1">IF($G15="Всього:",SUM($I$4:I14),IF(AND(DAY($C$4)&gt;=15,H15=1),K15+L15,$C$32))</f>
        <v>3804</v>
      </c>
      <c r="J15" s="160">
        <f ca="1">IF($G15="Всього:",SUM($J$4:J14),IF(I15-SUM(K15:L15)&lt;0,0,I15-SUM(K15:L15)))</f>
        <v>2927.1692409270518</v>
      </c>
      <c r="K15" s="160">
        <f ca="1">IF(G15="Всього:",SUM($K$5:K14),IF(F15&lt;&gt;F14,(F15*O14/36000*(G15-CONCATENATE(DAY($C$4),".",MONTH(G14),".",YEAR(G14)))+(F14*O14/36000*(CONCATENATE(DAY($C$4),".",MONTH(G14),".",YEAR(G14))-G14))),F15*O14/36000*(G15-G14)))</f>
        <v>876.83075907294835</v>
      </c>
      <c r="L15" s="160">
        <f ca="1">IF(G15="Всього:",SUM($L$5:L14),$E$4)</f>
        <v>0</v>
      </c>
      <c r="M15" s="160">
        <f ca="1">IF(G15="Всього:",SUM($M$5:M14),IF($E$5="UAH",J15+L15+K15,J15+K15))</f>
        <v>3804</v>
      </c>
      <c r="N15" s="160" t="str">
        <f ca="1">IF(G15="Всього:",SUM($N$4:N14),IF($E$5="UAH","",L15))</f>
        <v/>
      </c>
      <c r="O15" s="160">
        <f t="shared" ca="1" si="0"/>
        <v>72283.474853964872</v>
      </c>
    </row>
    <row r="16" spans="1:15" x14ac:dyDescent="0.3">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13.99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13.99</v>
      </c>
      <c r="G16" s="160">
        <f t="shared" ca="1" si="3"/>
        <v>46388</v>
      </c>
      <c r="H16" s="160">
        <f t="shared" ca="1" si="2"/>
        <v>12</v>
      </c>
      <c r="I16" s="160">
        <f ca="1">IF($G16="Всього:",SUM($I$4:I15),IF(AND(DAY($C$4)&gt;=15,H16=1),K16+L16,$C$32))</f>
        <v>3804</v>
      </c>
      <c r="J16" s="160">
        <f ca="1">IF($G16="Всього:",SUM($J$4:J15),IF(I16-SUM(K16:L16)&lt;0,0,I16-SUM(K16:L16)))</f>
        <v>2933.2049941828882</v>
      </c>
      <c r="K16" s="160">
        <f ca="1">IF(G16="Всього:",SUM($K$5:K15),IF(F16&lt;&gt;F15,(F16*O15/36000*(G16-CONCATENATE(DAY($C$4),".",MONTH(G15),".",YEAR(G15)))+(F15*O15/36000*(CONCATENATE(DAY($C$4),".",MONTH(G15),".",YEAR(G15))-G15))),F16*O15/36000*(G16-G15)))</f>
        <v>870.79500581711181</v>
      </c>
      <c r="L16" s="160">
        <f ca="1">IF(G16="Всього:",SUM($L$5:L15),$E$4)</f>
        <v>0</v>
      </c>
      <c r="M16" s="160">
        <f ca="1">IF(G16="Всього:",SUM($M$5:M15),IF($E$5="UAH",J16+L16+K16,J16+K16))</f>
        <v>3804</v>
      </c>
      <c r="N16" s="160" t="str">
        <f ca="1">IF(G16="Всього:",SUM($N$4:N15),IF($E$5="UAH","",L16))</f>
        <v/>
      </c>
      <c r="O16" s="160">
        <f t="shared" ca="1" si="0"/>
        <v>69350.269859781984</v>
      </c>
    </row>
    <row r="17" spans="1:15" x14ac:dyDescent="0.3">
      <c r="C17" s="163"/>
      <c r="F17" s="160">
        <f t="shared" ca="1" si="1"/>
        <v>13.99</v>
      </c>
      <c r="G17" s="160">
        <f t="shared" ca="1" si="3"/>
        <v>46419</v>
      </c>
      <c r="H17" s="160">
        <f t="shared" ca="1" si="2"/>
        <v>13</v>
      </c>
      <c r="I17" s="160">
        <f ca="1">IF($G17="Всього:",SUM($I$4:I16),IF(AND(DAY($C$4)&gt;=15,H17=1),K17+L17,$C$32))</f>
        <v>3804</v>
      </c>
      <c r="J17" s="160">
        <f ca="1">IF($G17="Всього:",SUM($J$4:J16),IF(I17-SUM(K17:L17)&lt;0,0,I17-SUM(K17:L17)))</f>
        <v>2968.5411517919765</v>
      </c>
      <c r="K17" s="160">
        <f ca="1">IF(G17="Всього:",SUM($K$5:K16),IF(F17&lt;&gt;F16,(F17*O16/36000*(G17-CONCATENATE(DAY($C$4),".",MONTH(G16),".",YEAR(G16)))+(F16*O16/36000*(CONCATENATE(DAY($C$4),".",MONTH(G16),".",YEAR(G16))-G16))),F17*O16/36000*(G17-G16)))</f>
        <v>835.4588482080236</v>
      </c>
      <c r="L17" s="160">
        <f ca="1">IF(G17="Всього:",SUM($L$5:L16),$E$4)</f>
        <v>0</v>
      </c>
      <c r="M17" s="160">
        <f ca="1">IF(G17="Всього:",SUM($M$5:M16),IF($E$5="UAH",J17+L17+K17,J17+K17))</f>
        <v>3804</v>
      </c>
      <c r="N17" s="160" t="str">
        <f ca="1">IF(G17="Всього:",SUM($N$4:N16),IF($E$5="UAH","",L17))</f>
        <v/>
      </c>
      <c r="O17" s="160">
        <f t="shared" ca="1" si="0"/>
        <v>66381.728707990012</v>
      </c>
    </row>
    <row r="18" spans="1:15" x14ac:dyDescent="0.3">
      <c r="F18" s="160">
        <f t="shared" ca="1" si="1"/>
        <v>13.99</v>
      </c>
      <c r="G18" s="160">
        <f t="shared" ca="1" si="3"/>
        <v>46447</v>
      </c>
      <c r="H18" s="160">
        <f t="shared" ca="1" si="2"/>
        <v>14</v>
      </c>
      <c r="I18" s="160">
        <f ca="1">IF($G18="Всього:",SUM($I$4:I17),IF(AND(DAY($C$4)&gt;=15,H18=1),K18+L18,$C$32))</f>
        <v>3804</v>
      </c>
      <c r="J18" s="160">
        <f ca="1">IF($G18="Всього:",SUM($J$4:J17),IF(I18-SUM(K18:L18)&lt;0,0,I18-SUM(K18:L18)))</f>
        <v>3081.6930341807265</v>
      </c>
      <c r="K18" s="160">
        <f ca="1">IF(G18="Всього:",SUM($K$5:K17),IF(F18&lt;&gt;F17,(F18*O17/36000*(G18-CONCATENATE(DAY($C$4),".",MONTH(G17),".",YEAR(G17)))+(F17*O17/36000*(CONCATENATE(DAY($C$4),".",MONTH(G17),".",YEAR(G17))-G17))),F18*O17/36000*(G18-G17)))</f>
        <v>722.3069658192735</v>
      </c>
      <c r="L18" s="160">
        <f ca="1">IF(G18="Всього:",SUM($L$5:L17),$E$4)</f>
        <v>0</v>
      </c>
      <c r="M18" s="160">
        <f ca="1">IF(G18="Всього:",SUM($M$5:M17),IF($E$5="UAH",J18+L18+K18,J18+K18))</f>
        <v>3804</v>
      </c>
      <c r="N18" s="160" t="str">
        <f ca="1">IF(G18="Всього:",SUM($N$4:N17),IF($E$5="UAH","",L18))</f>
        <v/>
      </c>
      <c r="O18" s="160">
        <f t="shared" ca="1" si="0"/>
        <v>63300.035673809289</v>
      </c>
    </row>
    <row r="19" spans="1:15" x14ac:dyDescent="0.3">
      <c r="F19" s="160">
        <f t="shared" ca="1" si="1"/>
        <v>13.99</v>
      </c>
      <c r="G19" s="160">
        <f t="shared" ca="1" si="3"/>
        <v>46478</v>
      </c>
      <c r="H19" s="160">
        <f t="shared" ca="1" si="2"/>
        <v>15</v>
      </c>
      <c r="I19" s="160">
        <f ca="1">IF($G19="Всього:",SUM($I$4:I18),IF(AND(DAY($C$4)&gt;=15,H19=1),K19+L19,$C$32))</f>
        <v>3804</v>
      </c>
      <c r="J19" s="160">
        <f ca="1">IF($G19="Всього:",SUM($J$4:J18),IF(I19-SUM(K19:L19)&lt;0,0,I19-SUM(K19:L19)))</f>
        <v>3041.427986906268</v>
      </c>
      <c r="K19" s="160">
        <f ca="1">IF(G19="Всього:",SUM($K$5:K18),IF(F19&lt;&gt;F18,(F19*O18/36000*(G19-CONCATENATE(DAY($C$4),".",MONTH(G18),".",YEAR(G18)))+(F18*O18/36000*(CONCATENATE(DAY($C$4),".",MONTH(G18),".",YEAR(G18))-G18))),F19*O18/36000*(G19-G18)))</f>
        <v>762.57201309373193</v>
      </c>
      <c r="L19" s="160">
        <f ca="1">IF(G19="Всього:",SUM($L$5:L18),$E$4)</f>
        <v>0</v>
      </c>
      <c r="M19" s="160">
        <f ca="1">IF(G19="Всього:",SUM($M$5:M18),IF($E$5="UAH",J19+L19+K19,J19+K19))</f>
        <v>3804</v>
      </c>
      <c r="N19" s="160" t="str">
        <f ca="1">IF(G19="Всього:",SUM($N$4:N18),IF($E$5="UAH","",L19))</f>
        <v/>
      </c>
      <c r="O19" s="160">
        <f t="shared" ca="1" si="0"/>
        <v>60258.607686903022</v>
      </c>
    </row>
    <row r="20" spans="1:15" x14ac:dyDescent="0.3">
      <c r="F20" s="160">
        <f t="shared" ca="1" si="1"/>
        <v>13.99</v>
      </c>
      <c r="G20" s="160">
        <f t="shared" ca="1" si="3"/>
        <v>46508</v>
      </c>
      <c r="H20" s="160">
        <f t="shared" ca="1" si="2"/>
        <v>16</v>
      </c>
      <c r="I20" s="160">
        <f ca="1">IF($G20="Всього:",SUM($I$4:I19),IF(AND(DAY($C$4)&gt;=15,H20=1),K20+L20,$C$32))</f>
        <v>3804</v>
      </c>
      <c r="J20" s="160">
        <f ca="1">IF($G20="Всього:",SUM($J$4:J19),IF(I20-SUM(K20:L20)&lt;0,0,I20-SUM(K20:L20)))</f>
        <v>3101.4850653835219</v>
      </c>
      <c r="K20" s="160">
        <f ca="1">IF(G20="Всього:",SUM($K$5:K19),IF(F20&lt;&gt;F19,(F20*O19/36000*(G20-CONCATENATE(DAY($C$4),".",MONTH(G19),".",YEAR(G19)))+(F19*O19/36000*(CONCATENATE(DAY($C$4),".",MONTH(G19),".",YEAR(G19))-G19))),F20*O19/36000*(G20-G19)))</f>
        <v>702.51493461647783</v>
      </c>
      <c r="L20" s="160">
        <f ca="1">IF(G20="Всього:",SUM($L$5:L19),$E$4)</f>
        <v>0</v>
      </c>
      <c r="M20" s="160">
        <f ca="1">IF(G20="Всього:",SUM($M$5:M19),IF($E$5="UAH",J20+L20+K20,J20+K20))</f>
        <v>3804</v>
      </c>
      <c r="N20" s="160" t="str">
        <f ca="1">IF(G20="Всього:",SUM($N$4:N19),IF($E$5="UAH","",L20))</f>
        <v/>
      </c>
      <c r="O20" s="160">
        <f t="shared" ca="1" si="0"/>
        <v>57157.122621519498</v>
      </c>
    </row>
    <row r="21" spans="1:15" x14ac:dyDescent="0.3">
      <c r="F21" s="160">
        <f t="shared" ca="1" si="1"/>
        <v>13.99</v>
      </c>
      <c r="G21" s="160">
        <f t="shared" ca="1" si="3"/>
        <v>46539</v>
      </c>
      <c r="H21" s="160">
        <f t="shared" ca="1" si="2"/>
        <v>17</v>
      </c>
      <c r="I21" s="160">
        <f ca="1">IF($G21="Всього:",SUM($I$4:I20),IF(AND(DAY($C$4)&gt;=15,H21=1),K21+L21,$C$32))</f>
        <v>3804</v>
      </c>
      <c r="J21" s="160">
        <f ca="1">IF($G21="Всього:",SUM($J$4:J20),IF(I21-SUM(K21:L21)&lt;0,0,I21-SUM(K21:L21)))</f>
        <v>3115.4313191742558</v>
      </c>
      <c r="K21" s="160">
        <f ca="1">IF(G21="Всього:",SUM($K$5:K20),IF(F21&lt;&gt;F20,(F21*O20/36000*(G21-CONCATENATE(DAY($C$4),".",MONTH(G20),".",YEAR(G20)))+(F20*O20/36000*(CONCATENATE(DAY($C$4),".",MONTH(G20),".",YEAR(G20))-G20))),F21*O20/36000*(G21-G20)))</f>
        <v>688.5686808257442</v>
      </c>
      <c r="L21" s="160">
        <f ca="1">IF(G21="Всього:",SUM($L$5:L20),$E$4)</f>
        <v>0</v>
      </c>
      <c r="M21" s="160">
        <f ca="1">IF(G21="Всього:",SUM($M$5:M20),IF($E$5="UAH",J21+L21+K21,J21+K21))</f>
        <v>3804</v>
      </c>
      <c r="N21" s="160" t="str">
        <f ca="1">IF(G21="Всього:",SUM($N$4:N20),IF($E$5="UAH","",L21))</f>
        <v/>
      </c>
      <c r="O21" s="160">
        <f t="shared" ca="1" si="0"/>
        <v>54041.691302345243</v>
      </c>
    </row>
    <row r="22" spans="1:15" x14ac:dyDescent="0.3">
      <c r="F22" s="160">
        <f t="shared" ca="1" si="1"/>
        <v>13.99</v>
      </c>
      <c r="G22" s="160">
        <f t="shared" ca="1" si="3"/>
        <v>46569</v>
      </c>
      <c r="H22" s="160">
        <f t="shared" ca="1" si="2"/>
        <v>18</v>
      </c>
      <c r="I22" s="160">
        <f ca="1">IF($G22="Всього:",SUM($I$4:I21),IF(AND(DAY($C$4)&gt;=15,H22=1),K22+L22,$C$32))</f>
        <v>3804</v>
      </c>
      <c r="J22" s="160">
        <f ca="1">IF($G22="Всього:",SUM($J$4:J21),IF(I22-SUM(K22:L22)&lt;0,0,I22-SUM(K22:L22)))</f>
        <v>3173.9639489001584</v>
      </c>
      <c r="K22" s="160">
        <f ca="1">IF(G22="Всього:",SUM($K$5:K21),IF(F22&lt;&gt;F21,(F22*O21/36000*(G22-CONCATENATE(DAY($C$4),".",MONTH(G21),".",YEAR(G21)))+(F21*O21/36000*(CONCATENATE(DAY($C$4),".",MONTH(G21),".",YEAR(G21))-G21))),F22*O21/36000*(G22-G21)))</f>
        <v>630.03605109984164</v>
      </c>
      <c r="L22" s="160">
        <f ca="1">IF(G22="Всього:",SUM($L$5:L21),$E$4)</f>
        <v>0</v>
      </c>
      <c r="M22" s="160">
        <f ca="1">IF(G22="Всього:",SUM($M$5:M21),IF($E$5="UAH",J22+L22+K22,J22+K22))</f>
        <v>3804</v>
      </c>
      <c r="N22" s="160" t="str">
        <f ca="1">IF(G22="Всього:",SUM($N$4:N21),IF($E$5="UAH","",L22))</f>
        <v/>
      </c>
      <c r="O22" s="160">
        <f t="shared" ca="1" si="0"/>
        <v>50867.727353445087</v>
      </c>
    </row>
    <row r="23" spans="1:15" x14ac:dyDescent="0.3">
      <c r="F23" s="160">
        <f t="shared" ca="1" si="1"/>
        <v>13.99</v>
      </c>
      <c r="G23" s="160">
        <f t="shared" ca="1" si="3"/>
        <v>46600</v>
      </c>
      <c r="H23" s="160">
        <f t="shared" ca="1" si="2"/>
        <v>19</v>
      </c>
      <c r="I23" s="160">
        <f ca="1">IF($G23="Всього:",SUM($I$4:I22),IF(AND(DAY($C$4)&gt;=15,H23=1),K23+L23,$C$32))</f>
        <v>3804</v>
      </c>
      <c r="J23" s="160">
        <f ca="1">IF($G23="Всього:",SUM($J$4:J22),IF(I23-SUM(K23:L23)&lt;0,0,I23-SUM(K23:L23)))</f>
        <v>3191.1993145578999</v>
      </c>
      <c r="K23" s="160">
        <f ca="1">IF(G23="Всього:",SUM($K$5:K22),IF(F23&lt;&gt;F22,(F23*O22/36000*(G23-CONCATENATE(DAY($C$4),".",MONTH(G22),".",YEAR(G22)))+(F22*O22/36000*(CONCATENATE(DAY($C$4),".",MONTH(G22),".",YEAR(G22))-G22))),F23*O22/36000*(G23-G22)))</f>
        <v>612.80068544209996</v>
      </c>
      <c r="L23" s="160">
        <f ca="1">IF(G23="Всього:",SUM($L$5:L22),$E$4)</f>
        <v>0</v>
      </c>
      <c r="M23" s="160">
        <f ca="1">IF(G23="Всього:",SUM($M$5:M22),IF($E$5="UAH",J23+L23+K23,J23+K23))</f>
        <v>3804</v>
      </c>
      <c r="N23" s="160" t="str">
        <f ca="1">IF(G23="Всього:",SUM($N$4:N22),IF($E$5="UAH","",L23))</f>
        <v/>
      </c>
      <c r="O23" s="160">
        <f t="shared" ca="1" si="0"/>
        <v>47676.528038887191</v>
      </c>
    </row>
    <row r="24" spans="1:15" x14ac:dyDescent="0.3">
      <c r="F24" s="160">
        <f t="shared" ca="1" si="1"/>
        <v>13.99</v>
      </c>
      <c r="G24" s="160">
        <f t="shared" ca="1" si="3"/>
        <v>46631</v>
      </c>
      <c r="H24" s="160">
        <f t="shared" ca="1" si="2"/>
        <v>20</v>
      </c>
      <c r="I24" s="160">
        <f ca="1">IF($G24="Всього:",SUM($I$4:I23),IF(AND(DAY($C$4)&gt;=15,H24=1),K24+L24,$C$32))</f>
        <v>3804</v>
      </c>
      <c r="J24" s="160">
        <f ca="1">IF($G24="Всього:",SUM($J$4:J23),IF(I24-SUM(K24:L24)&lt;0,0,I24-SUM(K24:L24)))</f>
        <v>3229.6435154115279</v>
      </c>
      <c r="K24" s="160">
        <f ca="1">IF(G24="Всього:",SUM($K$5:K23),IF(F24&lt;&gt;F23,(F24*O23/36000*(G24-CONCATENATE(DAY($C$4),".",MONTH(G23),".",YEAR(G23)))+(F23*O23/36000*(CONCATENATE(DAY($C$4),".",MONTH(G23),".",YEAR(G23))-G23))),F24*O23/36000*(G24-G23)))</f>
        <v>574.35648458847186</v>
      </c>
      <c r="L24" s="160">
        <f ca="1">IF(G24="Всього:",SUM($L$5:L23),$E$4)</f>
        <v>0</v>
      </c>
      <c r="M24" s="160">
        <f ca="1">IF(G24="Всього:",SUM($M$5:M23),IF($E$5="UAH",J24+L24+K24,J24+K24))</f>
        <v>3804</v>
      </c>
      <c r="N24" s="160" t="str">
        <f ca="1">IF(G24="Всього:",SUM($N$4:N23),IF($E$5="UAH","",L24))</f>
        <v/>
      </c>
      <c r="O24" s="160">
        <f t="shared" ca="1" si="0"/>
        <v>44446.884523475659</v>
      </c>
    </row>
    <row r="25" spans="1:15" x14ac:dyDescent="0.3">
      <c r="F25" s="160">
        <f t="shared" ca="1" si="1"/>
        <v>13.99</v>
      </c>
      <c r="G25" s="160">
        <f t="shared" ca="1" si="3"/>
        <v>46661</v>
      </c>
      <c r="H25" s="160">
        <f t="shared" ca="1" si="2"/>
        <v>21</v>
      </c>
      <c r="I25" s="160">
        <f ca="1">IF($G25="Всього:",SUM($I$4:I24),IF(AND(DAY($C$4)&gt;=15,H25=1),K25+L25,$C$32))</f>
        <v>3804</v>
      </c>
      <c r="J25" s="160">
        <f ca="1">IF($G25="Всього:",SUM($J$4:J24),IF(I25-SUM(K25:L25)&lt;0,0,I25-SUM(K25:L25)))</f>
        <v>3285.8234045971462</v>
      </c>
      <c r="K25" s="160">
        <f ca="1">IF(G25="Всього:",SUM($K$5:K24),IF(F25&lt;&gt;F24,(F25*O24/36000*(G25-CONCATENATE(DAY($C$4),".",MONTH(G24),".",YEAR(G24)))+(F24*O24/36000*(CONCATENATE(DAY($C$4),".",MONTH(G24),".",YEAR(G24))-G24))),F25*O24/36000*(G25-G24)))</f>
        <v>518.17659540285376</v>
      </c>
      <c r="L25" s="160">
        <f ca="1">IF(G25="Всього:",SUM($L$5:L24),$E$4)</f>
        <v>0</v>
      </c>
      <c r="M25" s="160">
        <f ca="1">IF(G25="Всього:",SUM($M$5:M24),IF($E$5="UAH",J25+L25+K25,J25+K25))</f>
        <v>3804</v>
      </c>
      <c r="N25" s="160" t="str">
        <f ca="1">IF(G25="Всього:",SUM($N$4:N24),IF($E$5="UAH","",L25))</f>
        <v/>
      </c>
      <c r="O25" s="160">
        <f t="shared" ca="1" si="0"/>
        <v>41161.061118878511</v>
      </c>
    </row>
    <row r="26" spans="1:15" x14ac:dyDescent="0.3">
      <c r="F26" s="160">
        <f t="shared" ca="1" si="1"/>
        <v>13.99</v>
      </c>
      <c r="G26" s="160">
        <f t="shared" ca="1" si="3"/>
        <v>46692</v>
      </c>
      <c r="H26" s="160">
        <f t="shared" ca="1" si="2"/>
        <v>22</v>
      </c>
      <c r="I26" s="160">
        <f ca="1">IF($G26="Всього:",SUM($I$4:I25),IF(AND(DAY($C$4)&gt;=15,H26=1),K26+L26,$C$32))</f>
        <v>3804</v>
      </c>
      <c r="J26" s="160">
        <f ca="1">IF($G26="Всього:",SUM($J$4:J25),IF(I26-SUM(K26:L26)&lt;0,0,I26-SUM(K26:L26)))</f>
        <v>3308.1349834264884</v>
      </c>
      <c r="K26" s="160">
        <f ca="1">IF(G26="Всього:",SUM($K$5:K25),IF(F26&lt;&gt;F25,(F26*O25/36000*(G26-CONCATENATE(DAY($C$4),".",MONTH(G25),".",YEAR(G25)))+(F25*O25/36000*(CONCATENATE(DAY($C$4),".",MONTH(G25),".",YEAR(G25))-G25))),F26*O25/36000*(G26-G25)))</f>
        <v>495.86501657351175</v>
      </c>
      <c r="L26" s="160">
        <f ca="1">IF(G26="Всього:",SUM($L$5:L25),$E$4)</f>
        <v>0</v>
      </c>
      <c r="M26" s="160">
        <f ca="1">IF(G26="Всього:",SUM($M$5:M25),IF($E$5="UAH",J26+L26+K26,J26+K26))</f>
        <v>3804</v>
      </c>
      <c r="N26" s="160" t="str">
        <f ca="1">IF(G26="Всього:",SUM($N$4:N25),IF($E$5="UAH","",L26))</f>
        <v/>
      </c>
      <c r="O26" s="160">
        <f t="shared" ca="1" si="0"/>
        <v>37852.92613545202</v>
      </c>
    </row>
    <row r="27" spans="1:15" x14ac:dyDescent="0.3">
      <c r="F27" s="160">
        <f t="shared" ca="1" si="1"/>
        <v>13.99</v>
      </c>
      <c r="G27" s="160">
        <f t="shared" ca="1" si="3"/>
        <v>46722</v>
      </c>
      <c r="H27" s="160">
        <f t="shared" ca="1" si="2"/>
        <v>23</v>
      </c>
      <c r="I27" s="160">
        <f ca="1">IF($G27="Всього:",SUM($I$4:I26),IF(AND(DAY($C$4)&gt;=15,H27=1),K27+L27,$C$32))</f>
        <v>3804</v>
      </c>
      <c r="J27" s="160">
        <f ca="1">IF($G27="Всього:",SUM($J$4:J26),IF(I27-SUM(K27:L27)&lt;0,0,I27-SUM(K27:L27)))</f>
        <v>3362.6979694708552</v>
      </c>
      <c r="K27" s="160">
        <f ca="1">IF(G27="Всього:",SUM($K$5:K26),IF(F27&lt;&gt;F26,(F27*O26/36000*(G27-CONCATENATE(DAY($C$4),".",MONTH(G26),".",YEAR(G26)))+(F26*O26/36000*(CONCATENATE(DAY($C$4),".",MONTH(G26),".",YEAR(G26))-G26))),F27*O26/36000*(G27-G26)))</f>
        <v>441.30203052914482</v>
      </c>
      <c r="L27" s="160">
        <f ca="1">IF(G27="Всього:",SUM($L$5:L26),$E$4)</f>
        <v>0</v>
      </c>
      <c r="M27" s="160">
        <f ca="1">IF(G27="Всього:",SUM($M$5:M26),IF($E$5="UAH",J27+L27+K27,J27+K27))</f>
        <v>3804</v>
      </c>
      <c r="N27" s="160" t="str">
        <f ca="1">IF(G27="Всього:",SUM($N$4:N26),IF($E$5="UAH","",L27))</f>
        <v/>
      </c>
      <c r="O27" s="160">
        <f t="shared" ca="1" si="0"/>
        <v>34490.228165981163</v>
      </c>
    </row>
    <row r="28" spans="1:15" x14ac:dyDescent="0.3">
      <c r="F28" s="160">
        <f t="shared" ca="1" si="1"/>
        <v>13.99</v>
      </c>
      <c r="G28" s="160">
        <f t="shared" ca="1" si="3"/>
        <v>46753</v>
      </c>
      <c r="H28" s="160">
        <f t="shared" ca="1" si="2"/>
        <v>24</v>
      </c>
      <c r="I28" s="160">
        <f ca="1">IF($G28="Всього:",SUM($I$4:I27),IF(AND(DAY($C$4)&gt;=15,H28=1),K28+L28,$C$32))</f>
        <v>3804</v>
      </c>
      <c r="J28" s="160">
        <f ca="1">IF($G28="Всього:",SUM($J$4:J27),IF(I28-SUM(K28:L28)&lt;0,0,I28-SUM(K28:L28)))</f>
        <v>3388.4981374082117</v>
      </c>
      <c r="K28" s="160">
        <f ca="1">IF(G28="Всього:",SUM($K$5:K27),IF(F28&lt;&gt;F27,(F28*O27/36000*(G28-CONCATENATE(DAY($C$4),".",MONTH(G27),".",YEAR(G27)))+(F27*O27/36000*(CONCATENATE(DAY($C$4),".",MONTH(G27),".",YEAR(G27))-G27))),F28*O27/36000*(G28-G27)))</f>
        <v>415.50186259178804</v>
      </c>
      <c r="L28" s="160">
        <f ca="1">IF(G28="Всього:",SUM($L$5:L27),$E$4)</f>
        <v>0</v>
      </c>
      <c r="M28" s="160">
        <f ca="1">IF(G28="Всього:",SUM($M$5:M27),IF($E$5="UAH",J28+L28+K28,J28+K28))</f>
        <v>3804</v>
      </c>
      <c r="N28" s="160" t="str">
        <f ca="1">IF(G28="Всього:",SUM($N$4:N27),IF($E$5="UAH","",L28))</f>
        <v/>
      </c>
      <c r="O28" s="160">
        <f t="shared" ca="1" si="0"/>
        <v>31101.730028572951</v>
      </c>
    </row>
    <row r="29" spans="1:15" x14ac:dyDescent="0.3">
      <c r="F29" s="160">
        <f t="shared" ca="1" si="1"/>
        <v>13.99</v>
      </c>
      <c r="G29" s="160">
        <f t="shared" ca="1" si="3"/>
        <v>46784</v>
      </c>
      <c r="H29" s="160">
        <f t="shared" ca="1" si="2"/>
        <v>25</v>
      </c>
      <c r="I29" s="160">
        <f ca="1">IF($G29="Всього:",SUM($I$4:I28),IF(AND(DAY($C$4)&gt;=15,H29=1),K29+L29,$C$32))</f>
        <v>3804</v>
      </c>
      <c r="J29" s="160">
        <f ca="1">IF($G29="Всього:",SUM($J$4:J28),IF(I29-SUM(K29:L29)&lt;0,0,I29-SUM(K29:L29)))</f>
        <v>3429.3191862196722</v>
      </c>
      <c r="K29" s="160">
        <f ca="1">IF(G29="Всього:",SUM($K$5:K28),IF(F29&lt;&gt;F28,(F29*O28/36000*(G29-CONCATENATE(DAY($C$4),".",MONTH(G28),".",YEAR(G28)))+(F28*O28/36000*(CONCATENATE(DAY($C$4),".",MONTH(G28),".",YEAR(G28))-G28))),F29*O28/36000*(G29-G28)))</f>
        <v>374.68081378032787</v>
      </c>
      <c r="L29" s="160">
        <f ca="1">IF(G29="Всього:",SUM($L$5:L28),$E$4)</f>
        <v>0</v>
      </c>
      <c r="M29" s="160">
        <f ca="1">IF(G29="Всього:",SUM($M$5:M28),IF($E$5="UAH",J29+L29+K29,J29+K29))</f>
        <v>3804</v>
      </c>
      <c r="N29" s="160" t="str">
        <f ca="1">IF(G29="Всього:",SUM($N$4:N28),IF($E$5="UAH","",L29))</f>
        <v/>
      </c>
      <c r="O29" s="160">
        <f t="shared" ca="1" si="0"/>
        <v>27672.410842353278</v>
      </c>
    </row>
    <row r="30" spans="1:15" x14ac:dyDescent="0.3">
      <c r="F30" s="160">
        <f t="shared" ca="1" si="1"/>
        <v>13.99</v>
      </c>
      <c r="G30" s="160">
        <f t="shared" ca="1" si="3"/>
        <v>46813</v>
      </c>
      <c r="H30" s="160">
        <f t="shared" ca="1" si="2"/>
        <v>26</v>
      </c>
      <c r="I30" s="160">
        <f ca="1">IF($G30="Всього:",SUM($I$4:I29),IF(AND(DAY($C$4)&gt;=15,H30=1),K30+L30,$C$32))</f>
        <v>3804</v>
      </c>
      <c r="J30" s="160">
        <f ca="1">IF($G30="Всього:",SUM($J$4:J29),IF(I30-SUM(K30:L30)&lt;0,0,I30-SUM(K30:L30)))</f>
        <v>3492.139616587468</v>
      </c>
      <c r="K30" s="160">
        <f ca="1">IF(G30="Всього:",SUM($K$5:K29),IF(F30&lt;&gt;F29,(F30*O29/36000*(G30-CONCATENATE(DAY($C$4),".",MONTH(G29),".",YEAR(G29)))+(F29*O29/36000*(CONCATENATE(DAY($C$4),".",MONTH(G29),".",YEAR(G29))-G29))),F30*O29/36000*(G30-G29)))</f>
        <v>311.86038341253192</v>
      </c>
      <c r="L30" s="160">
        <f ca="1">IF(G30="Всього:",SUM($L$5:L29),$E$4)</f>
        <v>0</v>
      </c>
      <c r="M30" s="160">
        <f ca="1">IF(G30="Всього:",SUM($M$5:M29),IF($E$5="UAH",J30+L30+K30,J30+K30))</f>
        <v>3804</v>
      </c>
      <c r="N30" s="160" t="str">
        <f ca="1">IF(G30="Всього:",SUM($N$4:N29),IF($E$5="UAH","",L30))</f>
        <v/>
      </c>
      <c r="O30" s="160">
        <f t="shared" ca="1" si="0"/>
        <v>24180.27122576581</v>
      </c>
    </row>
    <row r="31" spans="1:15" x14ac:dyDescent="0.3">
      <c r="F31" s="160">
        <f t="shared" ca="1" si="1"/>
        <v>13.99</v>
      </c>
      <c r="G31" s="160">
        <f t="shared" ca="1" si="3"/>
        <v>46844</v>
      </c>
      <c r="H31" s="160">
        <f t="shared" ca="1" si="2"/>
        <v>27</v>
      </c>
      <c r="I31" s="160">
        <f ca="1">IF($G31="Всього:",SUM($I$4:I30),IF(AND(DAY($C$4)&gt;=15,H31=1),K31+L31,$C$32))</f>
        <v>3804</v>
      </c>
      <c r="J31" s="160">
        <f ca="1">IF($G31="Всього:",SUM($J$4:J30),IF(I31-SUM(K31:L31)&lt;0,0,I31-SUM(K31:L31)))</f>
        <v>3512.7016158916008</v>
      </c>
      <c r="K31" s="160">
        <f ca="1">IF(G31="Всього:",SUM($K$5:K30),IF(F31&lt;&gt;F30,(F31*O30/36000*(G31-CONCATENATE(DAY($C$4),".",MONTH(G30),".",YEAR(G30)))+(F30*O30/36000*(CONCATENATE(DAY($C$4),".",MONTH(G30),".",YEAR(G30))-G30))),F31*O30/36000*(G31-G30)))</f>
        <v>291.29838410839926</v>
      </c>
      <c r="L31" s="160">
        <f ca="1">IF(G31="Всього:",SUM($L$5:L30),$E$4)</f>
        <v>0</v>
      </c>
      <c r="M31" s="160">
        <f ca="1">IF(G31="Всього:",SUM($M$5:M30),IF($E$5="UAH",J31+L31+K31,J31+K31))</f>
        <v>3804</v>
      </c>
      <c r="N31" s="160" t="str">
        <f ca="1">IF(G31="Всього:",SUM($N$4:N30),IF($E$5="UAH","",L31))</f>
        <v/>
      </c>
      <c r="O31" s="160">
        <f t="shared" ca="1" si="0"/>
        <v>20667.569609874208</v>
      </c>
    </row>
    <row r="32" spans="1:15" x14ac:dyDescent="0.3">
      <c r="A32" s="160" t="s">
        <v>204</v>
      </c>
      <c r="B32" s="160">
        <v>3803.9567544298634</v>
      </c>
      <c r="C32" s="160">
        <v>3804</v>
      </c>
      <c r="D32" s="160" t="s">
        <v>76</v>
      </c>
      <c r="F32" s="160">
        <f t="shared" ca="1" si="1"/>
        <v>13.99</v>
      </c>
      <c r="G32" s="160">
        <f t="shared" ca="1" si="3"/>
        <v>46874</v>
      </c>
      <c r="H32" s="160">
        <f t="shared" ca="1" si="2"/>
        <v>28</v>
      </c>
      <c r="I32" s="160">
        <f ca="1">IF($G32="Всього:",SUM($I$4:I31),IF(AND(DAY($C$4)&gt;=15,H32=1),K32+L32,$C$32))</f>
        <v>3804</v>
      </c>
      <c r="J32" s="160">
        <f ca="1">IF($G32="Всього:",SUM($J$4:J31),IF(I32-SUM(K32:L32)&lt;0,0,I32-SUM(K32:L32)))</f>
        <v>3563.0505842982166</v>
      </c>
      <c r="K32" s="160">
        <f ca="1">IF(G32="Всього:",SUM($K$5:K31),IF(F32&lt;&gt;F31,(F32*O31/36000*(G32-CONCATENATE(DAY($C$4),".",MONTH(G31),".",YEAR(G31)))+(F31*O31/36000*(CONCATENATE(DAY($C$4),".",MONTH(G31),".",YEAR(G31))-G31))),F32*O31/36000*(G32-G31)))</f>
        <v>240.94941570178352</v>
      </c>
      <c r="L32" s="160">
        <f ca="1">IF(G32="Всього:",SUM($L$5:L31),$E$4)</f>
        <v>0</v>
      </c>
      <c r="M32" s="160">
        <f ca="1">IF(G32="Всього:",SUM($M$5:M31),IF($E$5="UAH",J32+L32+K32,J32+K32))</f>
        <v>3804</v>
      </c>
      <c r="N32" s="160" t="str">
        <f ca="1">IF(G32="Всього:",SUM($N$4:N31),IF($E$5="UAH","",L32))</f>
        <v/>
      </c>
      <c r="O32" s="160">
        <f t="shared" ca="1" si="0"/>
        <v>17104.519025575992</v>
      </c>
    </row>
    <row r="33" spans="1:15" x14ac:dyDescent="0.3">
      <c r="A33" s="160" t="s">
        <v>205</v>
      </c>
      <c r="B33" s="160">
        <v>3803.9571162986153</v>
      </c>
      <c r="C33" s="160">
        <v>3804</v>
      </c>
      <c r="D33" s="160" t="s">
        <v>206</v>
      </c>
      <c r="F33" s="160">
        <f t="shared" ca="1" si="1"/>
        <v>13.99</v>
      </c>
      <c r="G33" s="160">
        <f t="shared" ca="1" si="3"/>
        <v>46905</v>
      </c>
      <c r="H33" s="160">
        <f t="shared" ca="1" si="2"/>
        <v>29</v>
      </c>
      <c r="I33" s="160">
        <f ca="1">IF($G33="Всього:",SUM($I$4:I32),IF(AND(DAY($C$4)&gt;=15,H33=1),K33+L33,$C$32))</f>
        <v>3804</v>
      </c>
      <c r="J33" s="160">
        <f ca="1">IF($G33="Всього:",SUM($J$4:J32),IF(I33-SUM(K33:L33)&lt;0,0,I33-SUM(K33:L33)))</f>
        <v>3597.9428095499429</v>
      </c>
      <c r="K33" s="160">
        <f ca="1">IF(G33="Всього:",SUM($K$5:K32),IF(F33&lt;&gt;F32,(F33*O32/36000*(G33-CONCATENATE(DAY($C$4),".",MONTH(G32),".",YEAR(G32)))+(F32*O32/36000*(CONCATENATE(DAY($C$4),".",MONTH(G32),".",YEAR(G32))-G32))),F33*O32/36000*(G33-G32)))</f>
        <v>206.05719045005702</v>
      </c>
      <c r="L33" s="160">
        <f ca="1">IF(G33="Всього:",SUM($L$5:L32),$E$4)</f>
        <v>0</v>
      </c>
      <c r="M33" s="160">
        <f ca="1">IF(G33="Всього:",SUM($M$5:M32),IF($E$5="UAH",J33+L33+K33,J33+K33))</f>
        <v>3804</v>
      </c>
      <c r="N33" s="160" t="str">
        <f ca="1">IF(G33="Всього:",SUM($N$4:N32),IF($E$5="UAH","",L33))</f>
        <v/>
      </c>
      <c r="O33" s="160">
        <f t="shared" ca="1" si="0"/>
        <v>13506.576216026049</v>
      </c>
    </row>
    <row r="34" spans="1:15" x14ac:dyDescent="0.3">
      <c r="A34" s="160" t="s">
        <v>207</v>
      </c>
      <c r="B34" s="160">
        <v>3795.2158627380263</v>
      </c>
      <c r="F34" s="160">
        <f t="shared" ca="1" si="1"/>
        <v>13.99</v>
      </c>
      <c r="G34" s="160">
        <f t="shared" ca="1" si="3"/>
        <v>46935</v>
      </c>
      <c r="H34" s="160">
        <f t="shared" ca="1" si="2"/>
        <v>30</v>
      </c>
      <c r="I34" s="160">
        <f ca="1">IF($G34="Всього:",SUM($I$4:I33),IF(AND(DAY($C$4)&gt;=15,H34=1),K34+L34,$C$32))</f>
        <v>3804</v>
      </c>
      <c r="J34" s="160">
        <f ca="1">IF($G34="Всього:",SUM($J$4:J33),IF(I34-SUM(K34:L34)&lt;0,0,I34-SUM(K34:L34)))</f>
        <v>3646.5358322814964</v>
      </c>
      <c r="K34" s="160">
        <f ca="1">IF(G34="Всього:",SUM($K$5:K33),IF(F34&lt;&gt;F33,(F34*O33/36000*(G34-CONCATENATE(DAY($C$4),".",MONTH(G33),".",YEAR(G33)))+(F33*O33/36000*(CONCATENATE(DAY($C$4),".",MONTH(G33),".",YEAR(G33))-G33))),F34*O33/36000*(G34-G33)))</f>
        <v>157.46416771850369</v>
      </c>
      <c r="L34" s="160">
        <f ca="1">IF(G34="Всього:",SUM($L$5:L33),$E$4)</f>
        <v>0</v>
      </c>
      <c r="M34" s="160">
        <f ca="1">IF(G34="Всього:",SUM($M$5:M33),IF($E$5="UAH",J34+L34+K34,J34+K34))</f>
        <v>3804</v>
      </c>
      <c r="N34" s="160" t="str">
        <f ca="1">IF(G34="Всього:",SUM($N$4:N33),IF($E$5="UAH","",L34))</f>
        <v/>
      </c>
      <c r="O34" s="160">
        <f t="shared" ca="1" si="0"/>
        <v>9860.0403837445519</v>
      </c>
    </row>
    <row r="35" spans="1:15" x14ac:dyDescent="0.3">
      <c r="F35" s="160">
        <f t="shared" ca="1" si="1"/>
        <v>13.99</v>
      </c>
      <c r="G35" s="160">
        <f t="shared" ca="1" si="3"/>
        <v>46966</v>
      </c>
      <c r="H35" s="160">
        <f t="shared" ca="1" si="2"/>
        <v>31</v>
      </c>
      <c r="I35" s="160">
        <f ca="1">IF($G35="Всього:",SUM($I$4:I34),IF(AND(DAY($C$4)&gt;=15,H35=1),K35+L35,$C$32))</f>
        <v>3804</v>
      </c>
      <c r="J35" s="160">
        <f ca="1">IF($G35="Всього:",SUM($J$4:J34),IF(I35-SUM(K35:L35)&lt;0,0,I35-SUM(K35:L35)))</f>
        <v>3685.2166412770507</v>
      </c>
      <c r="K35" s="160">
        <f ca="1">IF(G35="Всього:",SUM($K$5:K34),IF(F35&lt;&gt;F34,(F35*O34/36000*(G35-CONCATENATE(DAY($C$4),".",MONTH(G34),".",YEAR(G34)))+(F34*O34/36000*(CONCATENATE(DAY($C$4),".",MONTH(G34),".",YEAR(G34))-G34))),F35*O34/36000*(G35-G34)))</f>
        <v>118.7833587229493</v>
      </c>
      <c r="L35" s="160">
        <f ca="1">IF(G35="Всього:",SUM($L$5:L34),$E$4)</f>
        <v>0</v>
      </c>
      <c r="M35" s="160">
        <f ca="1">IF(G35="Всього:",SUM($M$5:M34),IF($E$5="UAH",J35+L35+K35,J35+K35))</f>
        <v>3804</v>
      </c>
      <c r="N35" s="160" t="str">
        <f ca="1">IF(G35="Всього:",SUM($N$4:N34),IF($E$5="UAH","",L35))</f>
        <v/>
      </c>
      <c r="O35" s="160">
        <f t="shared" ca="1" si="0"/>
        <v>6174.8237424675008</v>
      </c>
    </row>
    <row r="36" spans="1:15" x14ac:dyDescent="0.3">
      <c r="F36" s="160">
        <f t="shared" ca="1" si="1"/>
        <v>13.99</v>
      </c>
      <c r="G36" s="160">
        <f t="shared" ca="1" si="3"/>
        <v>46997</v>
      </c>
      <c r="H36" s="160">
        <f t="shared" ca="1" si="2"/>
        <v>32</v>
      </c>
      <c r="I36" s="160">
        <f ca="1">IF($G36="Всього:",SUM($I$4:I35),IF(AND(DAY($C$4)&gt;=15,H36=1),K36+L36,$C$32))</f>
        <v>3804</v>
      </c>
      <c r="J36" s="160">
        <f ca="1">IF($G36="Всього:",SUM($J$4:J35),IF(I36-SUM(K36:L36)&lt;0,0,I36-SUM(K36:L36)))</f>
        <v>3729.6122414202573</v>
      </c>
      <c r="K36" s="160">
        <f ca="1">IF(G36="Всього:",SUM($K$5:K35),IF(F36&lt;&gt;F35,(F36*O35/36000*(G36-CONCATENATE(DAY($C$4),".",MONTH(G35),".",YEAR(G35)))+(F35*O35/36000*(CONCATENATE(DAY($C$4),".",MONTH(G35),".",YEAR(G35))-G35))),F36*O35/36000*(G36-G35)))</f>
        <v>74.38775857974251</v>
      </c>
      <c r="L36" s="160">
        <f ca="1">IF(G36="Всього:",SUM($L$5:L35),$E$4)</f>
        <v>0</v>
      </c>
      <c r="M36" s="160">
        <f ca="1">IF(G36="Всього:",SUM($M$5:M35),IF($E$5="UAH",J36+L36+K36,J36+K36))</f>
        <v>3804</v>
      </c>
      <c r="N36" s="160" t="str">
        <f ca="1">IF(G36="Всього:",SUM($N$4:N35),IF($E$5="UAH","",L36))</f>
        <v/>
      </c>
      <c r="O36" s="160">
        <f t="shared" ca="1" si="0"/>
        <v>2445.2115010472435</v>
      </c>
    </row>
    <row r="37" spans="1:15" x14ac:dyDescent="0.3">
      <c r="F37" s="160">
        <f t="shared" ca="1" si="1"/>
        <v>13.99</v>
      </c>
      <c r="G37" s="160">
        <f t="shared" ca="1" si="3"/>
        <v>47027</v>
      </c>
      <c r="H37" s="160">
        <f t="shared" ca="1" si="2"/>
        <v>33</v>
      </c>
      <c r="I37" s="160">
        <f ca="1">IF($G37="Всього:",SUM($I$4:I36),IF(AND(DAY($C$4)&gt;=15,H37=1),K37+L37,$C$32))</f>
        <v>3804</v>
      </c>
      <c r="J37" s="160">
        <f ca="1">IF($G37="Всього:",SUM($J$4:J36),IF(I37-SUM(K37:L37)&lt;0,0,I37-SUM(K37:L37)))</f>
        <v>3775.4929092502907</v>
      </c>
      <c r="K37" s="160">
        <f ca="1">IF(G37="Всього:",SUM($K$5:K36),IF(F37&lt;&gt;F36,(F37*O36/36000*(G37-CONCATENATE(DAY($C$4),".",MONTH(G36),".",YEAR(G36)))+(F36*O36/36000*(CONCATENATE(DAY($C$4),".",MONTH(G36),".",YEAR(G36))-G36))),F37*O36/36000*(G37-G36)))</f>
        <v>28.507090749709114</v>
      </c>
      <c r="L37" s="160">
        <f ca="1">IF(G37="Всього:",SUM($L$5:L36),$E$4)</f>
        <v>0</v>
      </c>
      <c r="M37" s="160">
        <f ca="1">IF(G37="Всього:",SUM($M$5:M36),IF($E$5="UAH",J37+L37+K37,J37+K37))</f>
        <v>3804</v>
      </c>
      <c r="N37" s="160" t="str">
        <f ca="1">IF(G37="Всього:",SUM($N$4:N36),IF($E$5="UAH","",L37))</f>
        <v/>
      </c>
      <c r="O37" s="160">
        <f t="shared" ca="1" si="0"/>
        <v>-1330.2814082030472</v>
      </c>
    </row>
    <row r="38" spans="1:15" x14ac:dyDescent="0.3">
      <c r="F38" s="160">
        <f t="shared" ca="1" si="1"/>
        <v>13.99</v>
      </c>
      <c r="G38" s="160">
        <f t="shared" ca="1" si="3"/>
        <v>47058</v>
      </c>
      <c r="H38" s="160">
        <f t="shared" ca="1" si="2"/>
        <v>34</v>
      </c>
      <c r="I38" s="160">
        <f ca="1">IF($G38="Всього:",SUM($I$4:I37),IF(AND(DAY($C$4)&gt;=15,H38=1),K38+L38,$C$32))</f>
        <v>3804</v>
      </c>
      <c r="J38" s="160">
        <f ca="1">IF($G38="Всього:",SUM($J$4:J37),IF(I38-SUM(K38:L38)&lt;0,0,I38-SUM(K38:L38)))</f>
        <v>3820.0258262200996</v>
      </c>
      <c r="K38" s="160">
        <f ca="1">IF(G38="Всього:",SUM($K$5:K37),IF(F38&lt;&gt;F37,(F38*O37/36000*(G38-CONCATENATE(DAY($C$4),".",MONTH(G37),".",YEAR(G37)))+(F37*O37/36000*(CONCATENATE(DAY($C$4),".",MONTH(G37),".",YEAR(G37))-G37))),F38*O37/36000*(G38-G37)))</f>
        <v>-16.025826220099432</v>
      </c>
      <c r="L38" s="160">
        <f ca="1">IF(G38="Всього:",SUM($L$5:L37),$E$4)</f>
        <v>0</v>
      </c>
      <c r="M38" s="160">
        <f ca="1">IF(G38="Всього:",SUM($M$5:M37),IF($E$5="UAH",J38+L38+K38,J38+K38))</f>
        <v>3804</v>
      </c>
      <c r="N38" s="160" t="str">
        <f ca="1">IF(G38="Всього:",SUM($N$4:N37),IF($E$5="UAH","",L38))</f>
        <v/>
      </c>
      <c r="O38" s="160">
        <f t="shared" ca="1" si="0"/>
        <v>-5150.3072344231468</v>
      </c>
    </row>
    <row r="39" spans="1:15" x14ac:dyDescent="0.3">
      <c r="F39" s="160">
        <f t="shared" ca="1" si="1"/>
        <v>13.99</v>
      </c>
      <c r="G39" s="160">
        <f t="shared" ca="1" si="3"/>
        <v>47088</v>
      </c>
      <c r="H39" s="160">
        <f t="shared" ca="1" si="2"/>
        <v>35</v>
      </c>
      <c r="I39" s="160">
        <f ca="1">IF($G39="Всього:",SUM($I$4:I38),IF(AND(DAY($C$4)&gt;=15,H39=1),K39+L39,$C$32))</f>
        <v>3804</v>
      </c>
      <c r="J39" s="160">
        <f ca="1">IF($G39="Всього:",SUM($J$4:J38),IF(I39-SUM(K39:L39)&lt;0,0,I39-SUM(K39:L39)))</f>
        <v>3864.0439985079834</v>
      </c>
      <c r="K39" s="160">
        <f ca="1">IF(G39="Всього:",SUM($K$5:K38),IF(F39&lt;&gt;F38,(F39*O38/36000*(G39-CONCATENATE(DAY($C$4),".",MONTH(G38),".",YEAR(G38)))+(F38*O38/36000*(CONCATENATE(DAY($C$4),".",MONTH(G38),".",YEAR(G38))-G38))),F39*O38/36000*(G39-G38)))</f>
        <v>-60.043998507983176</v>
      </c>
      <c r="L39" s="160">
        <f ca="1">IF(G39="Всього:",SUM($L$5:L38),$E$4)</f>
        <v>0</v>
      </c>
      <c r="M39" s="160">
        <f ca="1">IF(G39="Всього:",SUM($M$5:M38),IF($E$5="UAH",J39+L39+K39,J39+K39))</f>
        <v>3804</v>
      </c>
      <c r="N39" s="160" t="str">
        <f ca="1">IF(G39="Всього:",SUM($N$4:N38),IF($E$5="UAH","",L39))</f>
        <v/>
      </c>
      <c r="O39" s="160">
        <f t="shared" ca="1" si="0"/>
        <v>-9014.3512329311307</v>
      </c>
    </row>
    <row r="40" spans="1:15" x14ac:dyDescent="0.3">
      <c r="F40" s="160">
        <f t="shared" ca="1" si="1"/>
        <v>13.99</v>
      </c>
      <c r="G40" s="160">
        <f t="shared" ca="1" si="3"/>
        <v>47119</v>
      </c>
      <c r="H40" s="160">
        <f t="shared" ca="1" si="2"/>
        <v>36</v>
      </c>
      <c r="I40" s="160">
        <f ca="1">IF($G40="Всього:",SUM($I$4:I39),IF(AND(DAY($C$4)&gt;=15,H40=1),K40+L40,$C$32))</f>
        <v>3804</v>
      </c>
      <c r="J40" s="160">
        <f ca="1">IF($G40="Всього:",SUM($J$4:J39),IF(I40-SUM(K40:L40)&lt;0,0,I40-SUM(K40:L40)))</f>
        <v>3912.5953885058307</v>
      </c>
      <c r="K40" s="160">
        <f ca="1">IF(G40="Всього:",SUM($K$5:K39),IF(F40&lt;&gt;F39,(F40*O39/36000*(G40-CONCATENATE(DAY($C$4),".",MONTH(G39),".",YEAR(G39)))+(F39*O39/36000*(CONCATENATE(DAY($C$4),".",MONTH(G39),".",YEAR(G39))-G39))),F40*O39/36000*(G40-G39)))</f>
        <v>-108.59538850583061</v>
      </c>
      <c r="L40" s="160">
        <f ca="1">IF(G40="Всього:",SUM($L$5:L39),$E$4)</f>
        <v>0</v>
      </c>
      <c r="M40" s="160">
        <f ca="1">IF(G40="Всього:",SUM($M$5:M39),IF($E$5="UAH",J40+L40+K40,J40+K40))</f>
        <v>3804</v>
      </c>
      <c r="N40" s="160" t="str">
        <f ca="1">IF(G40="Всього:",SUM($N$4:N39),IF($E$5="UAH","",L40))</f>
        <v/>
      </c>
      <c r="O40" s="160">
        <f t="shared" ca="1" si="0"/>
        <v>-12926.94662143696</v>
      </c>
    </row>
    <row r="41" spans="1:15" x14ac:dyDescent="0.3">
      <c r="F41" s="160">
        <f t="shared" ca="1" si="1"/>
        <v>13.99</v>
      </c>
      <c r="G41" s="160">
        <f t="shared" ca="1" si="3"/>
        <v>47150</v>
      </c>
      <c r="H41" s="160">
        <f t="shared" ca="1" si="2"/>
        <v>37</v>
      </c>
      <c r="I41" s="160">
        <f ca="1">IF($G41="Всього:",SUM($I$4:I40),IF(AND(DAY($C$4)&gt;=15,H41=1),K41+L41,$C$32))</f>
        <v>3804</v>
      </c>
      <c r="J41" s="160">
        <f ca="1">IF($G41="Всього:",SUM($J$4:J40),IF(I41-SUM(K41:L41)&lt;0,0,I41-SUM(K41:L41)))</f>
        <v>3959.7302077847498</v>
      </c>
      <c r="K41" s="160">
        <f ca="1">IF(G41="Всього:",SUM($K$5:K40),IF(F41&lt;&gt;F40,(F41*O40/36000*(G41-CONCATENATE(DAY($C$4),".",MONTH(G40),".",YEAR(G40)))+(F40*O40/36000*(CONCATENATE(DAY($C$4),".",MONTH(G40),".",YEAR(G40))-G40))),F41*O40/36000*(G41-G40)))</f>
        <v>-155.73020778474987</v>
      </c>
      <c r="L41" s="160">
        <f ca="1">IF(G41="Всього:",SUM($L$5:L40),$E$4)</f>
        <v>0</v>
      </c>
      <c r="M41" s="160">
        <f ca="1">IF(G41="Всього:",SUM($M$5:M40),IF($E$5="UAH",J41+L41+K41,J41+K41))</f>
        <v>3804</v>
      </c>
      <c r="N41" s="160" t="str">
        <f ca="1">IF(G41="Всього:",SUM($N$4:N40),IF($E$5="UAH","",L41))</f>
        <v/>
      </c>
      <c r="O41" s="160">
        <f t="shared" ca="1" si="0"/>
        <v>-16886.676829221709</v>
      </c>
    </row>
    <row r="42" spans="1:15" x14ac:dyDescent="0.3">
      <c r="F42" s="160">
        <f t="shared" ca="1" si="1"/>
        <v>13.99</v>
      </c>
      <c r="G42" s="160">
        <f t="shared" ca="1" si="3"/>
        <v>47178</v>
      </c>
      <c r="H42" s="160">
        <f t="shared" ca="1" si="2"/>
        <v>38</v>
      </c>
      <c r="I42" s="160">
        <f ca="1">IF($G42="Всього:",SUM($I$4:I41),IF(AND(DAY($C$4)&gt;=15,H42=1),K42+L42,$C$32))</f>
        <v>3804</v>
      </c>
      <c r="J42" s="160">
        <f ca="1">IF($G42="Всього:",SUM($J$4:J41),IF(I42-SUM(K42:L42)&lt;0,0,I42-SUM(K42:L42)))</f>
        <v>3987.7458068761871</v>
      </c>
      <c r="K42" s="160">
        <f ca="1">IF(G42="Всього:",SUM($K$5:K41),IF(F42&lt;&gt;F41,(F42*O41/36000*(G42-CONCATENATE(DAY($C$4),".",MONTH(G41),".",YEAR(G41)))+(F41*O41/36000*(CONCATENATE(DAY($C$4),".",MONTH(G41),".",YEAR(G41))-G41))),F42*O41/36000*(G42-G41)))</f>
        <v>-183.74580687618689</v>
      </c>
      <c r="L42" s="160">
        <f ca="1">IF(G42="Всього:",SUM($L$5:L41),$E$4)</f>
        <v>0</v>
      </c>
      <c r="M42" s="160">
        <f ca="1">IF(G42="Всього:",SUM($M$5:M41),IF($E$5="UAH",J42+L42+K42,J42+K42))</f>
        <v>3804</v>
      </c>
      <c r="N42" s="160" t="str">
        <f ca="1">IF(G42="Всього:",SUM($N$4:N41),IF($E$5="UAH","",L42))</f>
        <v/>
      </c>
      <c r="O42" s="160">
        <f t="shared" ca="1" si="0"/>
        <v>-20874.422636097897</v>
      </c>
    </row>
    <row r="43" spans="1:15" x14ac:dyDescent="0.3">
      <c r="F43" s="160">
        <f t="shared" ca="1" si="1"/>
        <v>13.99</v>
      </c>
      <c r="G43" s="160">
        <f t="shared" ca="1" si="3"/>
        <v>47209</v>
      </c>
      <c r="H43" s="160">
        <f t="shared" ca="1" si="2"/>
        <v>39</v>
      </c>
      <c r="I43" s="160">
        <f ca="1">IF($G43="Всього:",SUM($I$4:I42),IF(AND(DAY($C$4)&gt;=15,H43=1),K43+L43,$C$32))</f>
        <v>3804</v>
      </c>
      <c r="J43" s="160">
        <f ca="1">IF($G43="Всього:",SUM($J$4:J42),IF(I43-SUM(K43:L43)&lt;0,0,I43-SUM(K43:L43)))</f>
        <v>4055.4730098069249</v>
      </c>
      <c r="K43" s="160">
        <f ca="1">IF(G43="Всього:",SUM($K$5:K42),IF(F43&lt;&gt;F42,(F43*O42/36000*(G43-CONCATENATE(DAY($C$4),".",MONTH(G42),".",YEAR(G42)))+(F42*O42/36000*(CONCATENATE(DAY($C$4),".",MONTH(G42),".",YEAR(G42))-G42))),F43*O42/36000*(G43-G42)))</f>
        <v>-251.47300980692498</v>
      </c>
      <c r="L43" s="160">
        <f ca="1">IF(G43="Всього:",SUM($L$5:L42),$E$4)</f>
        <v>0</v>
      </c>
      <c r="M43" s="160">
        <f ca="1">IF(G43="Всього:",SUM($M$5:M42),IF($E$5="UAH",J43+L43+K43,J43+K43))</f>
        <v>3804</v>
      </c>
      <c r="N43" s="160" t="str">
        <f ca="1">IF(G43="Всього:",SUM($N$4:N42),IF($E$5="UAH","",L43))</f>
        <v/>
      </c>
      <c r="O43" s="160">
        <f t="shared" ca="1" si="0"/>
        <v>-24929.89564590482</v>
      </c>
    </row>
    <row r="44" spans="1:15" x14ac:dyDescent="0.3">
      <c r="F44" s="160">
        <f t="shared" ca="1" si="1"/>
        <v>13.99</v>
      </c>
      <c r="G44" s="160">
        <f t="shared" ca="1" si="3"/>
        <v>47239</v>
      </c>
      <c r="H44" s="160">
        <f t="shared" ca="1" si="2"/>
        <v>40</v>
      </c>
      <c r="I44" s="160">
        <f ca="1">IF($G44="Всього:",SUM($I$4:I43),IF(AND(DAY($C$4)&gt;=15,H44=1),K44+L44,$C$32))</f>
        <v>3804</v>
      </c>
      <c r="J44" s="160">
        <f ca="1">IF($G44="Всього:",SUM($J$4:J43),IF(I44-SUM(K44:L44)&lt;0,0,I44-SUM(K44:L44)))</f>
        <v>4094.6410334051739</v>
      </c>
      <c r="K44" s="160">
        <f ca="1">IF(G44="Всього:",SUM($K$5:K43),IF(F44&lt;&gt;F43,(F44*O43/36000*(G44-CONCATENATE(DAY($C$4),".",MONTH(G43),".",YEAR(G43)))+(F43*O43/36000*(CONCATENATE(DAY($C$4),".",MONTH(G43),".",YEAR(G43))-G43))),F44*O43/36000*(G44-G43)))</f>
        <v>-290.64103340517374</v>
      </c>
      <c r="L44" s="160">
        <f ca="1">IF(G44="Всього:",SUM($L$5:L43),$E$4)</f>
        <v>0</v>
      </c>
      <c r="M44" s="160">
        <f ca="1">IF(G44="Всього:",SUM($M$5:M43),IF($E$5="UAH",J44+L44+K44,J44+K44))</f>
        <v>3804</v>
      </c>
      <c r="N44" s="160" t="str">
        <f ca="1">IF(G44="Всього:",SUM($N$4:N43),IF($E$5="UAH","",L44))</f>
        <v/>
      </c>
      <c r="O44" s="160">
        <f t="shared" ca="1" si="0"/>
        <v>-29024.536679309993</v>
      </c>
    </row>
    <row r="45" spans="1:15" x14ac:dyDescent="0.3">
      <c r="F45" s="160">
        <f t="shared" ca="1" si="1"/>
        <v>13.99</v>
      </c>
      <c r="G45" s="160">
        <f t="shared" ca="1" si="3"/>
        <v>47270</v>
      </c>
      <c r="H45" s="160">
        <f t="shared" ca="1" si="2"/>
        <v>41</v>
      </c>
      <c r="I45" s="160">
        <f ca="1">IF($G45="Всього:",SUM($I$4:I44),IF(AND(DAY($C$4)&gt;=15,H45=1),K45+L45,$C$32))</f>
        <v>3804</v>
      </c>
      <c r="J45" s="160">
        <f ca="1">IF($G45="Всього:",SUM($J$4:J44),IF(I45-SUM(K45:L45)&lt;0,0,I45-SUM(K45:L45)))</f>
        <v>4153.6569809013872</v>
      </c>
      <c r="K45" s="160">
        <f ca="1">IF(G45="Всього:",SUM($K$5:K44),IF(F45&lt;&gt;F44,(F45*O44/36000*(G45-CONCATENATE(DAY($C$4),".",MONTH(G44),".",YEAR(G44)))+(F44*O44/36000*(CONCATENATE(DAY($C$4),".",MONTH(G44),".",YEAR(G44))-G44))),F45*O44/36000*(G45-G44)))</f>
        <v>-349.65698090138756</v>
      </c>
      <c r="L45" s="160">
        <f ca="1">IF(G45="Всього:",SUM($L$5:L44),$E$4)</f>
        <v>0</v>
      </c>
      <c r="M45" s="160">
        <f ca="1">IF(G45="Всього:",SUM($M$5:M44),IF($E$5="UAH",J45+L45+K45,J45+K45))</f>
        <v>3803.9999999999995</v>
      </c>
      <c r="N45" s="160" t="str">
        <f ca="1">IF(G45="Всього:",SUM($N$4:N44),IF($E$5="UAH","",L45))</f>
        <v/>
      </c>
      <c r="O45" s="160">
        <f t="shared" ca="1" si="0"/>
        <v>-33178.193660211378</v>
      </c>
    </row>
    <row r="46" spans="1:15" x14ac:dyDescent="0.3">
      <c r="F46" s="160">
        <f t="shared" ca="1" si="1"/>
        <v>13.99</v>
      </c>
      <c r="G46" s="160">
        <f t="shared" ca="1" si="3"/>
        <v>47300</v>
      </c>
      <c r="H46" s="160">
        <f t="shared" ca="1" si="2"/>
        <v>42</v>
      </c>
      <c r="I46" s="160">
        <f ca="1">IF($G46="Всього:",SUM($I$4:I45),IF(AND(DAY($C$4)&gt;=15,H46=1),K46+L46,$C$32))</f>
        <v>3804</v>
      </c>
      <c r="J46" s="160">
        <f ca="1">IF($G46="Всього:",SUM($J$4:J45),IF(I46-SUM(K46:L46)&lt;0,0,I46-SUM(K46:L46)))</f>
        <v>4190.802441088631</v>
      </c>
      <c r="K46" s="160">
        <f ca="1">IF(G46="Всього:",SUM($K$5:K45),IF(F46&lt;&gt;F45,(F46*O45/36000*(G46-CONCATENATE(DAY($C$4),".",MONTH(G45),".",YEAR(G45)))+(F45*O45/36000*(CONCATENATE(DAY($C$4),".",MONTH(G45),".",YEAR(G45))-G45))),F46*O45/36000*(G46-G45)))</f>
        <v>-386.80244108863099</v>
      </c>
      <c r="L46" s="160">
        <f ca="1">IF(G46="Всього:",SUM($L$5:L45),$E$4)</f>
        <v>0</v>
      </c>
      <c r="M46" s="160">
        <f ca="1">IF(G46="Всього:",SUM($M$5:M45),IF($E$5="UAH",J46+L46+K46,J46+K46))</f>
        <v>3804</v>
      </c>
      <c r="N46" s="160" t="str">
        <f ca="1">IF(G46="Всього:",SUM($N$4:N45),IF($E$5="UAH","",L46))</f>
        <v/>
      </c>
      <c r="O46" s="160">
        <f t="shared" ca="1" si="0"/>
        <v>-37368.996101300007</v>
      </c>
    </row>
    <row r="47" spans="1:15" x14ac:dyDescent="0.3">
      <c r="F47" s="160">
        <f t="shared" ca="1" si="1"/>
        <v>13.99</v>
      </c>
      <c r="G47" s="160">
        <f t="shared" ca="1" si="3"/>
        <v>47331</v>
      </c>
      <c r="H47" s="160">
        <f t="shared" ca="1" si="2"/>
        <v>43</v>
      </c>
      <c r="I47" s="160">
        <f ca="1">IF($G47="Всього:",SUM($I$4:I46),IF(AND(DAY($C$4)&gt;=15,H47=1),K47+L47,$C$32))</f>
        <v>3804</v>
      </c>
      <c r="J47" s="160">
        <f ca="1">IF($G47="Всього:",SUM($J$4:J46),IF(I47-SUM(K47:L47)&lt;0,0,I47-SUM(K47:L47)))</f>
        <v>4254.1822199770222</v>
      </c>
      <c r="K47" s="160">
        <f ca="1">IF(G47="Всього:",SUM($K$5:K46),IF(F47&lt;&gt;F46,(F47*O46/36000*(G47-CONCATENATE(DAY($C$4),".",MONTH(G46),".",YEAR(G46)))+(F46*O46/36000*(CONCATENATE(DAY($C$4),".",MONTH(G46),".",YEAR(G46))-G46))),F47*O46/36000*(G47-G46)))</f>
        <v>-450.18221997702221</v>
      </c>
      <c r="L47" s="160">
        <f ca="1">IF(G47="Всього:",SUM($L$5:L46),$E$4)</f>
        <v>0</v>
      </c>
      <c r="M47" s="160">
        <f ca="1">IF(G47="Всього:",SUM($M$5:M46),IF($E$5="UAH",J47+L47+K47,J47+K47))</f>
        <v>3804</v>
      </c>
      <c r="N47" s="160" t="str">
        <f ca="1">IF(G47="Всього:",SUM($N$4:N46),IF($E$5="UAH","",L47))</f>
        <v/>
      </c>
      <c r="O47" s="160">
        <f t="shared" ca="1" si="0"/>
        <v>-41623.178321277032</v>
      </c>
    </row>
    <row r="48" spans="1:15" x14ac:dyDescent="0.3">
      <c r="F48" s="160">
        <f t="shared" ca="1" si="1"/>
        <v>13.99</v>
      </c>
      <c r="G48" s="160">
        <f t="shared" ca="1" si="3"/>
        <v>47362</v>
      </c>
      <c r="H48" s="160">
        <f t="shared" ca="1" si="2"/>
        <v>44</v>
      </c>
      <c r="I48" s="160">
        <f ca="1">IF($G48="Всього:",SUM($I$4:I47),IF(AND(DAY($C$4)&gt;=15,H48=1),K48+L48,$C$32))</f>
        <v>3804</v>
      </c>
      <c r="J48" s="160">
        <f ca="1">IF($G48="Всього:",SUM($J$4:J47),IF(I48-SUM(K48:L48)&lt;0,0,I48-SUM(K48:L48)))</f>
        <v>4305.4321168376291</v>
      </c>
      <c r="K48" s="160">
        <f ca="1">IF(G48="Всього:",SUM($K$5:K47),IF(F48&lt;&gt;F47,(F48*O47/36000*(G48-CONCATENATE(DAY($C$4),".",MONTH(G47),".",YEAR(G47)))+(F47*O47/36000*(CONCATENATE(DAY($C$4),".",MONTH(G47),".",YEAR(G47))-G47))),F48*O47/36000*(G48-G47)))</f>
        <v>-501.43211683762883</v>
      </c>
      <c r="L48" s="160">
        <f ca="1">IF(G48="Всього:",SUM($L$5:L47),$E$4)</f>
        <v>0</v>
      </c>
      <c r="M48" s="160">
        <f ca="1">IF(G48="Всього:",SUM($M$5:M47),IF($E$5="UAH",J48+L48+K48,J48+K48))</f>
        <v>3804.0000000000005</v>
      </c>
      <c r="N48" s="160" t="str">
        <f ca="1">IF(G48="Всього:",SUM($N$4:N47),IF($E$5="UAH","",L48))</f>
        <v/>
      </c>
      <c r="O48" s="160">
        <f t="shared" ca="1" si="0"/>
        <v>-45928.610438114658</v>
      </c>
    </row>
    <row r="49" spans="6:15" x14ac:dyDescent="0.3">
      <c r="F49" s="160">
        <f t="shared" ca="1" si="1"/>
        <v>13.99</v>
      </c>
      <c r="G49" s="160">
        <f t="shared" ca="1" si="3"/>
        <v>47392</v>
      </c>
      <c r="H49" s="160">
        <f t="shared" ca="1" si="2"/>
        <v>45</v>
      </c>
      <c r="I49" s="160">
        <f ca="1">IF($G49="Всього:",SUM($I$4:I48),IF(AND(DAY($C$4)&gt;=15,H49=1),K49+L49,$C$32))</f>
        <v>3804</v>
      </c>
      <c r="J49" s="160">
        <f ca="1">IF($G49="Всього:",SUM($J$4:J48),IF(I49-SUM(K49:L49)&lt;0,0,I49-SUM(K49:L49)))</f>
        <v>4339.4510500243532</v>
      </c>
      <c r="K49" s="160">
        <f ca="1">IF(G49="Всього:",SUM($K$5:K48),IF(F49&lt;&gt;F48,(F49*O48/36000*(G49-CONCATENATE(DAY($C$4),".",MONTH(G48),".",YEAR(G48)))+(F48*O48/36000*(CONCATENATE(DAY($C$4),".",MONTH(G48),".",YEAR(G48))-G48))),F49*O48/36000*(G49-G48)))</f>
        <v>-535.45105002435344</v>
      </c>
      <c r="L49" s="160">
        <f ca="1">IF(G49="Всього:",SUM($L$5:L48),$E$4)</f>
        <v>0</v>
      </c>
      <c r="M49" s="160">
        <f ca="1">IF(G49="Всього:",SUM($M$5:M48),IF($E$5="UAH",J49+L49+K49,J49+K49))</f>
        <v>3804</v>
      </c>
      <c r="N49" s="160" t="str">
        <f ca="1">IF(G49="Всього:",SUM($N$4:N48),IF($E$5="UAH","",L49))</f>
        <v/>
      </c>
      <c r="O49" s="160">
        <f t="shared" ca="1" si="0"/>
        <v>-50268.061488139014</v>
      </c>
    </row>
    <row r="50" spans="6:15" x14ac:dyDescent="0.3">
      <c r="F50" s="160">
        <f t="shared" ca="1" si="1"/>
        <v>13.99</v>
      </c>
      <c r="G50" s="160">
        <f t="shared" ca="1" si="3"/>
        <v>47423</v>
      </c>
      <c r="H50" s="160">
        <f t="shared" ca="1" si="2"/>
        <v>46</v>
      </c>
      <c r="I50" s="160">
        <f ca="1">IF($G50="Всього:",SUM($I$4:I49),IF(AND(DAY($C$4)&gt;=15,H50=1),K50+L50,$C$32))</f>
        <v>3804</v>
      </c>
      <c r="J50" s="160">
        <f ca="1">IF($G50="Всього:",SUM($J$4:J49),IF(I50-SUM(K50:L50)&lt;0,0,I50-SUM(K50:L50)))</f>
        <v>4409.5765440775285</v>
      </c>
      <c r="K50" s="160">
        <f ca="1">IF(G50="Всього:",SUM($K$5:K49),IF(F50&lt;&gt;F49,(F50*O49/36000*(G50-CONCATENATE(DAY($C$4),".",MONTH(G49),".",YEAR(G49)))+(F49*O49/36000*(CONCATENATE(DAY($C$4),".",MONTH(G49),".",YEAR(G49))-G49))),F50*O49/36000*(G50-G49)))</f>
        <v>-605.57654407752807</v>
      </c>
      <c r="L50" s="160">
        <f ca="1">IF(G50="Всього:",SUM($L$5:L49),$E$4)</f>
        <v>0</v>
      </c>
      <c r="M50" s="160">
        <f ca="1">IF(G50="Всього:",SUM($M$5:M49),IF($E$5="UAH",J50+L50+K50,J50+K50))</f>
        <v>3804.0000000000005</v>
      </c>
      <c r="N50" s="160" t="str">
        <f ca="1">IF(G50="Всього:",SUM($N$4:N49),IF($E$5="UAH","",L50))</f>
        <v/>
      </c>
      <c r="O50" s="160">
        <f t="shared" ca="1" si="0"/>
        <v>-54677.638032216542</v>
      </c>
    </row>
    <row r="51" spans="6:15" x14ac:dyDescent="0.3">
      <c r="F51" s="160">
        <f t="shared" ca="1" si="1"/>
        <v>13.99</v>
      </c>
      <c r="G51" s="160">
        <f t="shared" ca="1" si="3"/>
        <v>47453</v>
      </c>
      <c r="H51" s="160">
        <f t="shared" ca="1" si="2"/>
        <v>47</v>
      </c>
      <c r="I51" s="160">
        <f ca="1">IF($G51="Всього:",SUM($I$4:I50),IF(AND(DAY($C$4)&gt;=15,H51=1),K51+L51,$C$32))</f>
        <v>3804</v>
      </c>
      <c r="J51" s="160">
        <f ca="1">IF($G51="Всього:",SUM($J$4:J50),IF(I51-SUM(K51:L51)&lt;0,0,I51-SUM(K51:L51)))</f>
        <v>4441.4501300589245</v>
      </c>
      <c r="K51" s="160">
        <f ca="1">IF(G51="Всього:",SUM($K$5:K50),IF(F51&lt;&gt;F50,(F51*O50/36000*(G51-CONCATENATE(DAY($C$4),".",MONTH(G50),".",YEAR(G50)))+(F50*O50/36000*(CONCATENATE(DAY($C$4),".",MONTH(G50),".",YEAR(G50))-G50))),F51*O50/36000*(G51-G50)))</f>
        <v>-637.45013005892451</v>
      </c>
      <c r="L51" s="160">
        <f ca="1">IF(G51="Всього:",SUM($L$5:L50),$E$4)</f>
        <v>0</v>
      </c>
      <c r="M51" s="160">
        <f ca="1">IF(G51="Всього:",SUM($M$5:M50),IF($E$5="UAH",J51+L51+K51,J51+K51))</f>
        <v>3804</v>
      </c>
      <c r="N51" s="160" t="str">
        <f ca="1">IF(G51="Всього:",SUM($N$4:N50),IF($E$5="UAH","",L51))</f>
        <v/>
      </c>
      <c r="O51" s="160">
        <f t="shared" ca="1" si="0"/>
        <v>-59119.088162275468</v>
      </c>
    </row>
    <row r="52" spans="6:15" x14ac:dyDescent="0.3">
      <c r="F52" s="160">
        <f t="shared" ca="1" si="1"/>
        <v>13.99</v>
      </c>
      <c r="G52" s="160">
        <f t="shared" ca="1" si="3"/>
        <v>47484</v>
      </c>
      <c r="H52" s="160">
        <f t="shared" ca="1" si="2"/>
        <v>48</v>
      </c>
      <c r="I52" s="160">
        <f ca="1">IF($G52="Всього:",SUM($I$4:I51),IF(AND(DAY($C$4)&gt;=15,H52=1),K52+L52,$C$32))</f>
        <v>3804</v>
      </c>
      <c r="J52" s="160">
        <f ca="1">IF($G52="Всього:",SUM($J$4:J51),IF(I52-SUM(K52:L52)&lt;0,0,I52-SUM(K52:L52)))</f>
        <v>4516.2043706971454</v>
      </c>
      <c r="K52" s="160">
        <f ca="1">IF(G52="Всього:",SUM($K$5:K51),IF(F52&lt;&gt;F51,(F52*O51/36000*(G52-CONCATENATE(DAY($C$4),".",MONTH(G51),".",YEAR(G51)))+(F51*O51/36000*(CONCATENATE(DAY($C$4),".",MONTH(G51),".",YEAR(G51))-G51))),F52*O51/36000*(G52-G51)))</f>
        <v>-712.20437069714569</v>
      </c>
      <c r="L52" s="160">
        <f ca="1">IF(G52="Всього:",SUM($L$5:L51),$E$4)</f>
        <v>0</v>
      </c>
      <c r="M52" s="160">
        <f ca="1">IF(G52="Всього:",SUM($M$5:M51),IF($E$5="UAH",J52+L52+K52,J52+K52))</f>
        <v>3803.9999999999995</v>
      </c>
      <c r="N52" s="160" t="str">
        <f ca="1">IF(G52="Всього:",SUM($N$4:N51),IF($E$5="UAH","",L52))</f>
        <v/>
      </c>
      <c r="O52" s="160">
        <f t="shared" ca="1" si="0"/>
        <v>-63635.292532972613</v>
      </c>
    </row>
    <row r="53" spans="6:15" x14ac:dyDescent="0.3">
      <c r="F53" s="160">
        <f t="shared" ca="1" si="1"/>
        <v>13.99</v>
      </c>
      <c r="G53" s="160">
        <f t="shared" ca="1" si="3"/>
        <v>47515</v>
      </c>
      <c r="H53" s="160">
        <f t="shared" ca="1" si="2"/>
        <v>49</v>
      </c>
      <c r="I53" s="160">
        <f ca="1">IF($G53="Всього:",SUM($I$4:I52),IF(AND(DAY($C$4)&gt;=15,H53=1),K53+L53,$C$32))</f>
        <v>3804</v>
      </c>
      <c r="J53" s="160">
        <f ca="1">IF($G53="Всього:",SUM($J$4:J52),IF(I53-SUM(K53:L53)&lt;0,0,I53-SUM(K53:L53)))</f>
        <v>4570.6108338506911</v>
      </c>
      <c r="K53" s="160">
        <f ca="1">IF(G53="Всього:",SUM($K$5:K52),IF(F53&lt;&gt;F52,(F53*O52/36000*(G53-CONCATENATE(DAY($C$4),".",MONTH(G52),".",YEAR(G52)))+(F52*O52/36000*(CONCATENATE(DAY($C$4),".",MONTH(G52),".",YEAR(G52))-G52))),F53*O52/36000*(G53-G52)))</f>
        <v>-766.61083385069139</v>
      </c>
      <c r="L53" s="160">
        <f ca="1">IF(G53="Всього:",SUM($L$5:L52),$E$4)</f>
        <v>0</v>
      </c>
      <c r="M53" s="160">
        <f ca="1">IF(G53="Всього:",SUM($M$5:M52),IF($E$5="UAH",J53+L53+K53,J53+K53))</f>
        <v>3803.9999999999995</v>
      </c>
      <c r="N53" s="160" t="str">
        <f ca="1">IF(G53="Всього:",SUM($N$4:N52),IF($E$5="UAH","",L53))</f>
        <v/>
      </c>
      <c r="O53" s="160">
        <f t="shared" ca="1" si="0"/>
        <v>-68205.903366823302</v>
      </c>
    </row>
    <row r="54" spans="6:15" x14ac:dyDescent="0.3">
      <c r="F54" s="160">
        <f t="shared" ca="1" si="1"/>
        <v>13.99</v>
      </c>
      <c r="G54" s="160">
        <f t="shared" ca="1" si="3"/>
        <v>47543</v>
      </c>
      <c r="H54" s="160">
        <f t="shared" ca="1" si="2"/>
        <v>50</v>
      </c>
      <c r="I54" s="160">
        <f ca="1">IF($G54="Всього:",SUM($I$4:I53),IF(AND(DAY($C$4)&gt;=15,H54=1),K54+L54,$C$32))</f>
        <v>3804</v>
      </c>
      <c r="J54" s="160">
        <f ca="1">IF($G54="Всього:",SUM($J$4:J53),IF(I54-SUM(K54:L54)&lt;0,0,I54-SUM(K54:L54)))</f>
        <v>4546.156012968112</v>
      </c>
      <c r="K54" s="160">
        <f ca="1">IF(G54="Всього:",SUM($K$5:K53),IF(F54&lt;&gt;F53,(F54*O53/36000*(G54-CONCATENATE(DAY($C$4),".",MONTH(G53),".",YEAR(G53)))+(F53*O53/36000*(CONCATENATE(DAY($C$4),".",MONTH(G53),".",YEAR(G53))-G53))),F54*O53/36000*(G54-G53)))</f>
        <v>-742.15601296811178</v>
      </c>
      <c r="L54" s="160">
        <f ca="1">IF(G54="Всього:",SUM($L$5:L53),$E$4)</f>
        <v>0</v>
      </c>
      <c r="M54" s="160">
        <f ca="1">IF(G54="Всього:",SUM($M$5:M53),IF($E$5="UAH",J54+L54+K54,J54+K54))</f>
        <v>3804</v>
      </c>
      <c r="N54" s="160" t="str">
        <f ca="1">IF(G54="Всього:",SUM($N$4:N53),IF($E$5="UAH","",L54))</f>
        <v/>
      </c>
      <c r="O54" s="160">
        <f t="shared" ca="1" si="0"/>
        <v>-72752.059379791419</v>
      </c>
    </row>
    <row r="55" spans="6:15" x14ac:dyDescent="0.3">
      <c r="F55" s="160">
        <f t="shared" ca="1" si="1"/>
        <v>13.99</v>
      </c>
      <c r="G55" s="160">
        <f t="shared" ca="1" si="3"/>
        <v>47574</v>
      </c>
      <c r="H55" s="160">
        <f t="shared" ca="1" si="2"/>
        <v>51</v>
      </c>
      <c r="I55" s="160">
        <f ca="1">IF($G55="Всього:",SUM($I$4:I54),IF(AND(DAY($C$4)&gt;=15,H55=1),K55+L55,$C$32))</f>
        <v>3804</v>
      </c>
      <c r="J55" s="160">
        <f ca="1">IF($G55="Всього:",SUM($J$4:J54),IF(I55-SUM(K55:L55)&lt;0,0,I55-SUM(K55:L55)))</f>
        <v>4680.4400175672708</v>
      </c>
      <c r="K55" s="160">
        <f ca="1">IF(G55="Всього:",SUM($K$5:K54),IF(F55&lt;&gt;F54,(F55*O54/36000*(G55-CONCATENATE(DAY($C$4),".",MONTH(G54),".",YEAR(G54)))+(F54*O54/36000*(CONCATENATE(DAY($C$4),".",MONTH(G54),".",YEAR(G54))-G54))),F55*O54/36000*(G55-G54)))</f>
        <v>-876.44001756727062</v>
      </c>
      <c r="L55" s="160">
        <f ca="1">IF(G55="Всього:",SUM($L$5:L54),$E$4)</f>
        <v>0</v>
      </c>
      <c r="M55" s="160">
        <f ca="1">IF(G55="Всього:",SUM($M$5:M54),IF($E$5="UAH",J55+L55+K55,J55+K55))</f>
        <v>3804</v>
      </c>
      <c r="N55" s="160" t="str">
        <f ca="1">IF(G55="Всього:",SUM($N$4:N54),IF($E$5="UAH","",L55))</f>
        <v/>
      </c>
      <c r="O55" s="160">
        <f t="shared" ca="1" si="0"/>
        <v>-77432.499397358682</v>
      </c>
    </row>
    <row r="56" spans="6:15" x14ac:dyDescent="0.3">
      <c r="F56" s="160">
        <f t="shared" ca="1" si="1"/>
        <v>13.99</v>
      </c>
      <c r="G56" s="160">
        <f t="shared" ca="1" si="3"/>
        <v>47604</v>
      </c>
      <c r="H56" s="160">
        <f t="shared" ca="1" si="2"/>
        <v>52</v>
      </c>
      <c r="I56" s="160">
        <f ca="1">IF($G56="Всього:",SUM($I$4:I55),IF(AND(DAY($C$4)&gt;=15,H56=1),K56+L56,$C$32))</f>
        <v>3804</v>
      </c>
      <c r="J56" s="160">
        <f ca="1">IF($G56="Всього:",SUM($J$4:J55),IF(I56-SUM(K56:L56)&lt;0,0,I56-SUM(K56:L56)))</f>
        <v>4706.7338888075401</v>
      </c>
      <c r="K56" s="160">
        <f ca="1">IF(G56="Всього:",SUM($K$5:K55),IF(F56&lt;&gt;F55,(F56*O55/36000*(G56-CONCATENATE(DAY($C$4),".",MONTH(G55),".",YEAR(G55)))+(F55*O55/36000*(CONCATENATE(DAY($C$4),".",MONTH(G55),".",YEAR(G55))-G55))),F56*O55/36000*(G56-G55)))</f>
        <v>-902.73388880753998</v>
      </c>
      <c r="L56" s="160">
        <f ca="1">IF(G56="Всього:",SUM($L$5:L55),$E$4)</f>
        <v>0</v>
      </c>
      <c r="M56" s="160">
        <f ca="1">IF(G56="Всього:",SUM($M$5:M55),IF($E$5="UAH",J56+L56+K56,J56+K56))</f>
        <v>3804</v>
      </c>
      <c r="N56" s="160" t="str">
        <f ca="1">IF(G56="Всього:",SUM($N$4:N55),IF($E$5="UAH","",L56))</f>
        <v/>
      </c>
      <c r="O56" s="160">
        <f t="shared" ca="1" si="0"/>
        <v>-82139.233286166229</v>
      </c>
    </row>
    <row r="57" spans="6:15" x14ac:dyDescent="0.3">
      <c r="F57" s="160">
        <f t="shared" ca="1" si="1"/>
        <v>13.99</v>
      </c>
      <c r="G57" s="160">
        <f t="shared" ca="1" si="3"/>
        <v>47635</v>
      </c>
      <c r="H57" s="160">
        <f t="shared" ca="1" si="2"/>
        <v>53</v>
      </c>
      <c r="I57" s="160">
        <f ca="1">IF($G57="Всього:",SUM($I$4:I56),IF(AND(DAY($C$4)&gt;=15,H57=1),K57+L57,$C$32))</f>
        <v>3804</v>
      </c>
      <c r="J57" s="160">
        <f ca="1">IF($G57="Всього:",SUM($J$4:J56),IF(I57-SUM(K57:L57)&lt;0,0,I57-SUM(K57:L57)))</f>
        <v>4793.5267801077061</v>
      </c>
      <c r="K57" s="160">
        <f ca="1">IF(G57="Всього:",SUM($K$5:K56),IF(F57&lt;&gt;F56,(F57*O56/36000*(G57-CONCATENATE(DAY($C$4),".",MONTH(G56),".",YEAR(G56)))+(F56*O56/36000*(CONCATENATE(DAY($C$4),".",MONTH(G56),".",YEAR(G56))-G56))),F57*O56/36000*(G57-G56)))</f>
        <v>-989.52678010770649</v>
      </c>
      <c r="L57" s="160">
        <f ca="1">IF(G57="Всього:",SUM($L$5:L56),$E$4)</f>
        <v>0</v>
      </c>
      <c r="M57" s="160">
        <f ca="1">IF(G57="Всього:",SUM($M$5:M56),IF($E$5="UAH",J57+L57+K57,J57+K57))</f>
        <v>3803.9999999999995</v>
      </c>
      <c r="N57" s="160" t="str">
        <f ca="1">IF(G57="Всього:",SUM($N$4:N56),IF($E$5="UAH","",L57))</f>
        <v/>
      </c>
      <c r="O57" s="160">
        <f t="shared" ca="1" si="0"/>
        <v>-86932.760066273942</v>
      </c>
    </row>
    <row r="58" spans="6:15" x14ac:dyDescent="0.3">
      <c r="F58" s="160">
        <f t="shared" ca="1" si="1"/>
        <v>13.99</v>
      </c>
      <c r="G58" s="160">
        <f t="shared" ca="1" si="3"/>
        <v>47665</v>
      </c>
      <c r="H58" s="160">
        <f t="shared" ca="1" si="2"/>
        <v>54</v>
      </c>
      <c r="I58" s="160">
        <f ca="1">IF($G58="Всього:",SUM($I$4:I57),IF(AND(DAY($C$4)&gt;=15,H58=1),K58+L58,$C$32))</f>
        <v>3804</v>
      </c>
      <c r="J58" s="160">
        <f ca="1">IF($G58="Всього:",SUM($J$4:J57),IF(I58-SUM(K58:L58)&lt;0,0,I58-SUM(K58:L58)))</f>
        <v>4817.4910944393105</v>
      </c>
      <c r="K58" s="160">
        <f ca="1">IF(G58="Всього:",SUM($K$5:K57),IF(F58&lt;&gt;F57,(F58*O57/36000*(G58-CONCATENATE(DAY($C$4),".",MONTH(G57),".",YEAR(G57)))+(F57*O57/36000*(CONCATENATE(DAY($C$4),".",MONTH(G57),".",YEAR(G57))-G57))),F58*O57/36000*(G58-G57)))</f>
        <v>-1013.4910944393105</v>
      </c>
      <c r="L58" s="160">
        <f ca="1">IF(G58="Всього:",SUM($L$5:L57),$E$4)</f>
        <v>0</v>
      </c>
      <c r="M58" s="160">
        <f ca="1">IF(G58="Всього:",SUM($M$5:M57),IF($E$5="UAH",J58+L58+K58,J58+K58))</f>
        <v>3804</v>
      </c>
      <c r="N58" s="160" t="str">
        <f ca="1">IF(G58="Всього:",SUM($N$4:N57),IF($E$5="UAH","",L58))</f>
        <v/>
      </c>
      <c r="O58" s="160">
        <f t="shared" ca="1" si="0"/>
        <v>-91750.251160713247</v>
      </c>
    </row>
    <row r="59" spans="6:15" x14ac:dyDescent="0.3">
      <c r="F59" s="160">
        <f t="shared" ca="1" si="1"/>
        <v>13.99</v>
      </c>
      <c r="G59" s="160">
        <f t="shared" ca="1" si="3"/>
        <v>47696</v>
      </c>
      <c r="H59" s="160">
        <f t="shared" ca="1" si="2"/>
        <v>55</v>
      </c>
      <c r="I59" s="160">
        <f ca="1">IF($G59="Всього:",SUM($I$4:I58),IF(AND(DAY($C$4)&gt;=15,H59=1),K59+L59,$C$32))</f>
        <v>3804</v>
      </c>
      <c r="J59" s="160">
        <f ca="1">IF($G59="Всього:",SUM($J$4:J58),IF(I59-SUM(K59:L59)&lt;0,0,I59-SUM(K59:L59)))</f>
        <v>4909.3101784969367</v>
      </c>
      <c r="K59" s="160">
        <f ca="1">IF(G59="Всього:",SUM($K$5:K58),IF(F59&lt;&gt;F58,(F59*O58/36000*(G59-CONCATENATE(DAY($C$4),".",MONTH(G58),".",YEAR(G58)))+(F58*O58/36000*(CONCATENATE(DAY($C$4),".",MONTH(G58),".",YEAR(G58))-G58))),F59*O58/36000*(G59-G58)))</f>
        <v>-1105.3101784969369</v>
      </c>
      <c r="L59" s="160">
        <f ca="1">IF(G59="Всього:",SUM($L$5:L58),$E$4)</f>
        <v>0</v>
      </c>
      <c r="M59" s="160">
        <f ca="1">IF(G59="Всього:",SUM($M$5:M58),IF($E$5="UAH",J59+L59+K59,J59+K59))</f>
        <v>3804</v>
      </c>
      <c r="N59" s="160" t="str">
        <f ca="1">IF(G59="Всього:",SUM($N$4:N58),IF($E$5="UAH","",L59))</f>
        <v/>
      </c>
      <c r="O59" s="160">
        <f t="shared" ca="1" si="0"/>
        <v>-96659.56133921018</v>
      </c>
    </row>
    <row r="60" spans="6:15" x14ac:dyDescent="0.3">
      <c r="F60" s="160">
        <f t="shared" ca="1" si="1"/>
        <v>13.99</v>
      </c>
      <c r="G60" s="160">
        <f t="shared" ca="1" si="3"/>
        <v>47727</v>
      </c>
      <c r="H60" s="160">
        <f t="shared" ca="1" si="2"/>
        <v>56</v>
      </c>
      <c r="I60" s="160">
        <f ca="1">IF($G60="Всього:",SUM($I$4:I59),IF(AND(DAY($C$4)&gt;=15,H60=1),K60+L60,$C$32))</f>
        <v>3804</v>
      </c>
      <c r="J60" s="160">
        <f ca="1">IF($G60="Всього:",SUM($J$4:J59),IF(I60-SUM(K60:L60)&lt;0,0,I60-SUM(K60:L60)))</f>
        <v>4968.452365477835</v>
      </c>
      <c r="K60" s="160">
        <f ca="1">IF(G60="Всього:",SUM($K$5:K59),IF(F60&lt;&gt;F59,(F60*O59/36000*(G60-CONCATENATE(DAY($C$4),".",MONTH(G59),".",YEAR(G59)))+(F59*O59/36000*(CONCATENATE(DAY($C$4),".",MONTH(G59),".",YEAR(G59))-G59))),F60*O59/36000*(G60-G59)))</f>
        <v>-1164.4523654778352</v>
      </c>
      <c r="L60" s="160">
        <f ca="1">IF(G60="Всього:",SUM($L$5:L59),$E$4)</f>
        <v>0</v>
      </c>
      <c r="M60" s="160">
        <f ca="1">IF(G60="Всього:",SUM($M$5:M59),IF($E$5="UAH",J60+L60+K60,J60+K60))</f>
        <v>3804</v>
      </c>
      <c r="N60" s="160" t="str">
        <f ca="1">IF(G60="Всього:",SUM($N$4:N59),IF($E$5="UAH","",L60))</f>
        <v/>
      </c>
      <c r="O60" s="160">
        <f t="shared" ca="1" si="0"/>
        <v>-101628.01370468801</v>
      </c>
    </row>
    <row r="61" spans="6:15" x14ac:dyDescent="0.3">
      <c r="F61" s="160">
        <f t="shared" ca="1" si="1"/>
        <v>13.99</v>
      </c>
      <c r="G61" s="160">
        <f t="shared" ca="1" si="3"/>
        <v>47757</v>
      </c>
      <c r="H61" s="160">
        <f t="shared" ca="1" si="2"/>
        <v>57</v>
      </c>
      <c r="I61" s="160">
        <f ca="1">IF($G61="Всього:",SUM($I$4:I60),IF(AND(DAY($C$4)&gt;=15,H61=1),K61+L61,$C$32))</f>
        <v>3804</v>
      </c>
      <c r="J61" s="160">
        <f ca="1">IF($G61="Всього:",SUM($J$4:J60),IF(I61-SUM(K61:L61)&lt;0,0,I61-SUM(K61:L61)))</f>
        <v>4988.8132597738213</v>
      </c>
      <c r="K61" s="160">
        <f ca="1">IF(G61="Всього:",SUM($K$5:K60),IF(F61&lt;&gt;F60,(F61*O60/36000*(G61-CONCATENATE(DAY($C$4),".",MONTH(G60),".",YEAR(G60)))+(F60*O60/36000*(CONCATENATE(DAY($C$4),".",MONTH(G60),".",YEAR(G60))-G60))),F61*O60/36000*(G61-G60)))</f>
        <v>-1184.8132597738213</v>
      </c>
      <c r="L61" s="160">
        <f ca="1">IF(G61="Всього:",SUM($L$5:L60),$E$4)</f>
        <v>0</v>
      </c>
      <c r="M61" s="160">
        <f ca="1">IF(G61="Всього:",SUM($M$5:M60),IF($E$5="UAH",J61+L61+K61,J61+K61))</f>
        <v>3804</v>
      </c>
      <c r="N61" s="160" t="str">
        <f ca="1">IF(G61="Всього:",SUM($N$4:N60),IF($E$5="UAH","",L61))</f>
        <v/>
      </c>
      <c r="O61" s="160">
        <f t="shared" ca="1" si="0"/>
        <v>-106616.82696446183</v>
      </c>
    </row>
    <row r="62" spans="6:15" x14ac:dyDescent="0.3">
      <c r="F62" s="160">
        <f t="shared" ca="1" si="1"/>
        <v>13.99</v>
      </c>
      <c r="G62" s="160">
        <f t="shared" ca="1" si="3"/>
        <v>47788</v>
      </c>
      <c r="H62" s="160">
        <f t="shared" ca="1" si="2"/>
        <v>58</v>
      </c>
      <c r="I62" s="160">
        <f ca="1">IF($G62="Всього:",SUM($I$4:I61),IF(AND(DAY($C$4)&gt;=15,H62=1),K62+L62,$C$32))</f>
        <v>3804</v>
      </c>
      <c r="J62" s="160">
        <f ca="1">IF($G62="Всього:",SUM($J$4:J61),IF(I62-SUM(K62:L62)&lt;0,0,I62-SUM(K62:L62)))</f>
        <v>5088.4069912838186</v>
      </c>
      <c r="K62" s="160">
        <f ca="1">IF(G62="Всього:",SUM($K$5:K61),IF(F62&lt;&gt;F61,(F62*O61/36000*(G62-CONCATENATE(DAY($C$4),".",MONTH(G61),".",YEAR(G61)))+(F61*O61/36000*(CONCATENATE(DAY($C$4),".",MONTH(G61),".",YEAR(G61))-G61))),F62*O61/36000*(G62-G61)))</f>
        <v>-1284.4069912838181</v>
      </c>
      <c r="L62" s="160">
        <f ca="1">IF(G62="Всього:",SUM($L$5:L61),$E$4)</f>
        <v>0</v>
      </c>
      <c r="M62" s="160">
        <f ca="1">IF(G62="Всього:",SUM($M$5:M61),IF($E$5="UAH",J62+L62+K62,J62+K62))</f>
        <v>3804.0000000000005</v>
      </c>
      <c r="N62" s="160" t="str">
        <f ca="1">IF(G62="Всього:",SUM($N$4:N61),IF($E$5="UAH","",L62))</f>
        <v/>
      </c>
      <c r="O62" s="160">
        <f t="shared" ca="1" si="0"/>
        <v>-111705.23395574564</v>
      </c>
    </row>
    <row r="63" spans="6:15" x14ac:dyDescent="0.3">
      <c r="F63" s="160">
        <f t="shared" ca="1" si="1"/>
        <v>13.99</v>
      </c>
      <c r="G63" s="160">
        <f t="shared" ca="1" si="3"/>
        <v>47818</v>
      </c>
      <c r="H63" s="160">
        <f t="shared" ca="1" si="2"/>
        <v>59</v>
      </c>
      <c r="I63" s="160">
        <f ca="1">IF($G63="Всього:",SUM($I$4:I62),IF(AND(DAY($C$4)&gt;=15,H63=1),K63+L63,$C$32))</f>
        <v>3804</v>
      </c>
      <c r="J63" s="160">
        <f ca="1">IF($G63="Всього:",SUM($J$4:J62),IF(I63-SUM(K63:L63)&lt;0,0,I63-SUM(K63:L63)))</f>
        <v>5106.2968525340675</v>
      </c>
      <c r="K63" s="160">
        <f ca="1">IF(G63="Всього:",SUM($K$5:K62),IF(F63&lt;&gt;F62,(F63*O62/36000*(G63-CONCATENATE(DAY($C$4),".",MONTH(G62),".",YEAR(G62)))+(F62*O62/36000*(CONCATENATE(DAY($C$4),".",MONTH(G62),".",YEAR(G62))-G62))),F63*O62/36000*(G63-G62)))</f>
        <v>-1302.296852534068</v>
      </c>
      <c r="L63" s="160">
        <f ca="1">IF(G63="Всього:",SUM($L$5:L62),$E$4)</f>
        <v>0</v>
      </c>
      <c r="M63" s="160">
        <f ca="1">IF(G63="Всього:",SUM($M$5:M62),IF($E$5="UAH",J63+L63+K63,J63+K63))</f>
        <v>3803.9999999999995</v>
      </c>
      <c r="N63" s="160" t="str">
        <f ca="1">IF(G63="Всього:",SUM($N$4:N62),IF($E$5="UAH","",L63))</f>
        <v/>
      </c>
      <c r="O63" s="160">
        <f t="shared" ca="1" si="0"/>
        <v>-116811.53080827971</v>
      </c>
    </row>
    <row r="64" spans="6:15" x14ac:dyDescent="0.3">
      <c r="F64" s="160">
        <f t="shared" ca="1" si="1"/>
        <v>13.99</v>
      </c>
      <c r="G64" s="160">
        <f t="shared" ca="1" si="3"/>
        <v>47849</v>
      </c>
      <c r="H64" s="160">
        <f t="shared" ca="1" si="2"/>
        <v>60</v>
      </c>
      <c r="I64" s="160">
        <f ca="1">IF($G64="Всього:",SUM($I$4:I63),IF(AND(DAY($C$4)&gt;=15,H64=1),K64+L64,$C$32))</f>
        <v>3804</v>
      </c>
      <c r="J64" s="160">
        <f ca="1">IF($G64="Всього:",SUM($J$4:J63),IF(I64-SUM(K64:L64)&lt;0,0,I64-SUM(K64:L64)))</f>
        <v>5211.2220221178559</v>
      </c>
      <c r="K64" s="160">
        <f ca="1">IF(G64="Всього:",SUM($K$5:K63),IF(F64&lt;&gt;F63,(F64*O63/36000*(G64-CONCATENATE(DAY($C$4),".",MONTH(G63),".",YEAR(G63)))+(F63*O63/36000*(CONCATENATE(DAY($C$4),".",MONTH(G63),".",YEAR(G63))-G63))),F64*O63/36000*(G64-G63)))</f>
        <v>-1407.2220221178563</v>
      </c>
      <c r="L64" s="160">
        <f ca="1">IF(G64="Всього:",SUM($L$5:L63),$E$4)</f>
        <v>0</v>
      </c>
      <c r="M64" s="160">
        <f ca="1">IF(G64="Всього:",SUM($M$5:M63),IF($E$5="UAH",J64+L64+K64,J64+K64))</f>
        <v>3803.9999999999995</v>
      </c>
      <c r="N64" s="160" t="str">
        <f ca="1">IF(G64="Всього:",SUM($N$4:N63),IF($E$5="UAH","",L64))</f>
        <v/>
      </c>
      <c r="O64" s="160">
        <f t="shared" ca="1" si="0"/>
        <v>-122022.75283039757</v>
      </c>
    </row>
    <row r="65" spans="6:15" x14ac:dyDescent="0.3">
      <c r="F65" s="160">
        <f t="shared" ca="1" si="1"/>
        <v>13.99</v>
      </c>
      <c r="G65" s="160">
        <f t="shared" ca="1" si="3"/>
        <v>47868</v>
      </c>
      <c r="H65" s="160">
        <f t="shared" ca="1" si="2"/>
        <v>61</v>
      </c>
      <c r="I65" s="160">
        <f ca="1">IF($G65="Всього:",SUM($I$4:I64),IF(AND(DAY($C$4)&gt;=15,H65=1),K65+L65,$C$32))</f>
        <v>3804</v>
      </c>
      <c r="J65" s="160">
        <f ca="1">IF($G65="Всього:",SUM($J$4:J64),IF(I65-SUM(K65:L65)&lt;0,0,I65-SUM(K65:L65)))</f>
        <v>4704.9685536068882</v>
      </c>
      <c r="K65" s="160">
        <f ca="1">IF(G65="Всього:",SUM($K$5:K64),IF(F65&lt;&gt;F64,(F65*O64/36000*(G65-CONCATENATE(DAY($C$4),".",MONTH(G64),".",YEAR(G64)))+(F64*O64/36000*(CONCATENATE(DAY($C$4),".",MONTH(G64),".",YEAR(G64))-G64))),F65*O64/36000*(G65-G64)))</f>
        <v>-900.96855360688835</v>
      </c>
      <c r="L65" s="160">
        <f ca="1">IF(G65="Всього:",SUM($L$5:L64),$E$4)</f>
        <v>0</v>
      </c>
      <c r="M65" s="160">
        <f ca="1">IF(G65="Всього:",SUM($M$5:M64),IF($E$5="UAH",J65+L65+K65,J65+K65))</f>
        <v>3804</v>
      </c>
      <c r="N65" s="160" t="str">
        <f ca="1">IF(G65="Всього:",SUM($N$4:N64),IF($E$5="UAH","",L65))</f>
        <v/>
      </c>
      <c r="O65" s="160">
        <f t="shared" ca="1" si="0"/>
        <v>-126727.72138400446</v>
      </c>
    </row>
    <row r="66" spans="6:15" x14ac:dyDescent="0.3">
      <c r="F66" s="160" t="str">
        <f t="shared" ca="1" si="1"/>
        <v/>
      </c>
      <c r="G66" s="160" t="str">
        <f t="shared" ca="1" si="3"/>
        <v>Всього:</v>
      </c>
      <c r="H66" s="160">
        <f t="shared" ca="1" si="2"/>
        <v>62</v>
      </c>
      <c r="I66" s="160">
        <f ca="1">IF($G66="Всього:",SUM($I$4:I65),IF(AND(DAY($C$4)&gt;=15,H66=1),K66+L66,$C$32))</f>
        <v>228667.47222222222</v>
      </c>
      <c r="J66" s="160">
        <f ca="1">IF($G66="Всього:",SUM($J$4:J65),IF(I66-SUM(K66:L66)&lt;0,0,I66-SUM(K66:L66)))</f>
        <v>226727.7213840044</v>
      </c>
      <c r="K66" s="160">
        <f ca="1">IF(G66="Всього:",SUM($K$5:K65),IF(F66&lt;&gt;F65,(F66*O65/36000*(G66-CONCATENATE(DAY($C$4),".",MONTH(G65),".",YEAR(G65)))+(F65*O65/36000*(CONCATENATE(DAY($C$4),".",MONTH(G65),".",YEAR(G65))-G65))),F66*O65/36000*(G66-G65)))</f>
        <v>1939.750838217758</v>
      </c>
      <c r="L66" s="160">
        <f ca="1">IF(G66="Всього:",SUM($L$5:L65),$E$4)</f>
        <v>0</v>
      </c>
      <c r="M66" s="160">
        <f ca="1">IF(G66="Всього:",SUM($M$5:M65),IF($E$5="UAH",J66+L66+K66,J66+K66))</f>
        <v>228667.47222222222</v>
      </c>
      <c r="N66" s="160">
        <f ca="1">IF(G66="Всього:",SUM($N$4:N65),IF($E$5="UAH","",L66))</f>
        <v>0</v>
      </c>
      <c r="O66" s="160">
        <f t="shared" ca="1" si="0"/>
        <v>-353455.44276800886</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2" priority="1" operator="containsText" text="Поручитель неплатоспроможний">
      <formula>NOT(ISERROR(SEARCH("Поручитель неплатоспроможний",C112)))</formula>
    </cfRule>
    <cfRule type="containsText" dxfId="61" priority="2" operator="containsText" text="Поручитель платоспроможний">
      <formula>NOT(ISERROR(SEARCH("Поручитель платоспроможний",C112)))</formula>
    </cfRule>
  </conditionalFormatting>
  <conditionalFormatting sqref="D1">
    <cfRule type="expression" dxfId="60"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53340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7734375" defaultRowHeight="14.4" x14ac:dyDescent="0.3"/>
  <cols>
    <col min="1" max="1" width="28" style="11" customWidth="1"/>
    <col min="2" max="2" width="16.44140625" style="11" customWidth="1"/>
    <col min="3" max="3" width="23.77734375" style="11" customWidth="1"/>
    <col min="4" max="4" width="28" style="11" customWidth="1"/>
    <col min="5" max="5" width="13.5546875" style="11" customWidth="1"/>
    <col min="6" max="6" width="14.5546875" style="11" customWidth="1"/>
    <col min="7" max="7" width="17.5546875" style="11" customWidth="1"/>
    <col min="8" max="8" width="8" style="30" customWidth="1"/>
    <col min="9" max="9" width="15.44140625" style="11" customWidth="1"/>
    <col min="10" max="10" width="19.5546875" style="11" customWidth="1"/>
    <col min="11" max="11" width="15.44140625" style="11" customWidth="1"/>
    <col min="12" max="12" width="12.5546875" style="11" customWidth="1"/>
    <col min="13" max="13" width="12.44140625" style="11" customWidth="1"/>
    <col min="14" max="14" width="13.21875" style="11" customWidth="1"/>
    <col min="15" max="15" width="16" style="11" customWidth="1"/>
    <col min="16" max="16" width="13.21875" customWidth="1"/>
    <col min="17" max="17" width="13.77734375" style="11" customWidth="1"/>
    <col min="18" max="19" width="10.77734375" style="11" customWidth="1"/>
    <col min="20" max="20" width="8.77734375" style="11" customWidth="1"/>
    <col min="21" max="21" width="12.44140625" style="11" customWidth="1"/>
    <col min="22" max="22" width="8.77734375" style="11" customWidth="1"/>
    <col min="23" max="23" width="32.44140625" style="11" customWidth="1"/>
    <col min="24" max="24" width="8.77734375" style="11" customWidth="1"/>
    <col min="25" max="25" width="14.44140625" style="11" customWidth="1"/>
    <col min="26" max="26" width="8.77734375" style="11" customWidth="1"/>
    <col min="27" max="27" width="12.44140625" style="11" customWidth="1"/>
    <col min="28" max="28" width="10.77734375" style="11" customWidth="1"/>
    <col min="29" max="29" width="12.77734375" style="11" customWidth="1"/>
    <col min="30" max="78" width="8.77734375" style="11" customWidth="1"/>
    <col min="79" max="16384" width="8.77734375" style="11"/>
  </cols>
  <sheetData>
    <row r="1" spans="1:29" s="8" customFormat="1" ht="31.5" customHeight="1" x14ac:dyDescent="0.3">
      <c r="A1" s="12" t="s">
        <v>171</v>
      </c>
      <c r="B1" s="4" t="e">
        <f>((E1*POWER(1+(E2/12),E3)*(E2/12)))/(POWER(1+(E2/12),E3)-1)</f>
        <v>#VALUE!</v>
      </c>
      <c r="C1" s="5" t="e">
        <f>PMT(E2/12,E3,-E1)</f>
        <v>#VALUE!</v>
      </c>
      <c r="D1" s="6" t="s">
        <v>172</v>
      </c>
      <c r="E1" s="7" t="str">
        <f>'Калькулятор '!N2</f>
        <v>Не достатня сума авансу</v>
      </c>
      <c r="G1" s="9"/>
      <c r="H1" s="150" t="s">
        <v>173</v>
      </c>
      <c r="I1" s="150"/>
      <c r="J1" s="10">
        <f ca="1">TODAY()</f>
        <v>46043</v>
      </c>
      <c r="O1" s="35" t="s">
        <v>208</v>
      </c>
    </row>
    <row r="2" spans="1:29" s="8" customFormat="1" ht="16.5" customHeight="1" x14ac:dyDescent="0.25">
      <c r="A2" s="12" t="s">
        <v>175</v>
      </c>
      <c r="B2" s="4" t="e">
        <f>E1*(E2/12)</f>
        <v>#VALUE!</v>
      </c>
      <c r="C2" s="5" t="e">
        <f>IPMT(E2/12,1,E3,-(E1))</f>
        <v>#VALUE!</v>
      </c>
      <c r="D2" s="6" t="s">
        <v>176</v>
      </c>
      <c r="E2" s="49">
        <f>'Калькулятор '!E14</f>
        <v>13.99</v>
      </c>
      <c r="F2" s="13" t="s">
        <v>177</v>
      </c>
      <c r="G2" s="152" t="s">
        <v>178</v>
      </c>
      <c r="H2" s="155" t="s">
        <v>179</v>
      </c>
      <c r="I2" s="156"/>
      <c r="J2" s="156"/>
      <c r="K2" s="156"/>
      <c r="L2" s="156"/>
      <c r="M2" s="156"/>
      <c r="N2" s="156"/>
      <c r="O2" s="157"/>
      <c r="S2" s="8">
        <v>12</v>
      </c>
      <c r="W2" s="12" t="s">
        <v>209</v>
      </c>
      <c r="X2" s="12"/>
      <c r="Y2" s="26" t="e">
        <f ca="1">IF(E3=S2,J17,IF(E3=S3,J29,IF(E3=S4,J41,IF(E3=S5,J53,0))))+Y3+IF(E3=S6,J65,IF(E3=S7,J77,IF(E3=S8,J89,0)))</f>
        <v>#VALUE!</v>
      </c>
      <c r="AA2" s="29"/>
      <c r="AB2" s="29" t="e">
        <f ca="1">R3+Y7+Y6+Y4</f>
        <v>#VALUE!</v>
      </c>
      <c r="AC2" s="29" t="e">
        <f ca="1">IF(E3=S2,AVERAGE(O4:O15),IF(E3=S3,AVERAGE(O4:O27),IF(E3=S4,AVERAGE(O4:O39),IF(E3=S5,AVERAGE(O4:O51),IF(E3=S6,AVERAGE(O4:O63),0)))))</f>
        <v>#VALUE!</v>
      </c>
    </row>
    <row r="3" spans="1:29" s="8" customFormat="1" ht="38.25" customHeight="1" x14ac:dyDescent="0.25">
      <c r="A3" s="12" t="s">
        <v>180</v>
      </c>
      <c r="B3" s="4" t="e">
        <f>B1-B2</f>
        <v>#VALUE!</v>
      </c>
      <c r="C3" s="5" t="e">
        <f>PPMT(E2/12,1,E3,-E1)</f>
        <v>#VALUE!</v>
      </c>
      <c r="D3" s="6" t="s">
        <v>181</v>
      </c>
      <c r="E3" s="14">
        <f>'Калькулятор '!E12</f>
        <v>60</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564089.27399999998</v>
      </c>
      <c r="S3" s="8">
        <v>24</v>
      </c>
      <c r="W3" s="12" t="s">
        <v>210</v>
      </c>
      <c r="X3" s="12"/>
      <c r="Y3" s="26" t="e">
        <f ca="1">SUM(Y4:Y8)+Y12-Y7+R3</f>
        <v>#VALUE!</v>
      </c>
      <c r="AA3" s="29"/>
      <c r="AB3" s="8" t="e">
        <f ca="1">IF('Калькулятор '!V23&lt;20,1,IF(AC3=Y10,0,1))</f>
        <v>#VALUE!</v>
      </c>
      <c r="AC3" s="40">
        <v>0.38880982995033264</v>
      </c>
    </row>
    <row r="4" spans="1:29" s="8" customFormat="1" ht="13.5" customHeight="1" x14ac:dyDescent="0.25">
      <c r="A4" s="12" t="s">
        <v>189</v>
      </c>
      <c r="B4" s="12"/>
      <c r="C4" s="33">
        <f ca="1">TODAY()</f>
        <v>46043</v>
      </c>
      <c r="D4" s="6" t="s">
        <v>190</v>
      </c>
      <c r="E4" s="12" t="e">
        <f>'Платоспроможність боржника'!H4/100*E1</f>
        <v>#VALUE!</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t="str">
        <f>E1</f>
        <v>Не достатня сума авансу</v>
      </c>
      <c r="P4" s="33">
        <f ca="1">C4</f>
        <v>46043</v>
      </c>
      <c r="Q4" s="8" t="str">
        <f>IFERROR(-E1+(Y6+Y7+Y5+Y8+Y12),"")</f>
        <v/>
      </c>
      <c r="S4" s="8">
        <v>36</v>
      </c>
      <c r="W4" s="12" t="s">
        <v>211</v>
      </c>
      <c r="X4" s="12"/>
      <c r="Y4" s="26" t="e">
        <f ca="1">IF(E3=S2,K17,IF(E3=S3,K29,IF(E3=S4,K41,IF(E3=S5,K53,0))))+IF(E3=S6,K65,IF(E3=S7,K77,IF(E3=S8,K89,0)))</f>
        <v>#VALUE!</v>
      </c>
      <c r="AA4" s="29"/>
      <c r="AC4" s="40"/>
    </row>
    <row r="5" spans="1:29" s="8" customFormat="1" ht="13.2" x14ac:dyDescent="0.25">
      <c r="A5" s="22" t="s">
        <v>193</v>
      </c>
      <c r="B5" s="12">
        <v>1</v>
      </c>
      <c r="C5" s="12">
        <v>1</v>
      </c>
      <c r="D5" s="6" t="s">
        <v>194</v>
      </c>
      <c r="E5" s="12" t="s">
        <v>195</v>
      </c>
      <c r="F5" s="34">
        <f ca="1">IF(G5="Всього:","",IF(AND(G5&gt;$B$9,G5&lt;=$B$10),$C$16,IF(AND(G5&gt;$B$9,G5&lt;=$B$11),$D$16,IF(AND(G5&gt;$B$10,G5&lt;=$B$14),$E$16,$B$16))))</f>
        <v>13.99</v>
      </c>
      <c r="G5" s="23">
        <f ca="1">IF(AND(DAY(C4)&lt;=15,$B$7&gt;DAY(C4)),DATE(YEAR(C4),MONTH(C4),IF($B$7&lt;&gt;"",DAY(IF($B$7&gt;DAY(EOMONTH(C4,0)),EOMONTH(C4,0),$B$7)),DAY(1))),DATE(YEAR(C4),MONTH(C4)+1,IF($B$7&lt;&gt;"",DAY(IF($B$7&gt;DAY(EOMONTH(C4,1)),EOMONTH(C4,1),$B$7)),DAY(1))))</f>
        <v>46074</v>
      </c>
      <c r="H5" s="24">
        <f>IF(H4&gt;$E$8,"",H4+1)</f>
        <v>1</v>
      </c>
      <c r="I5" s="25" t="e">
        <f ca="1">IF($G5="Всього:",SUM($I$4:I4),MAX($C$32,K5))</f>
        <v>#VALUE!</v>
      </c>
      <c r="J5" s="25" t="e">
        <f ca="1">IF($G5="Всього:",SUM($J$4:J4),IF(I5-SUM(K5:L5)&lt;0,0,I5-SUM(K5:L5)))</f>
        <v>#VALUE!</v>
      </c>
      <c r="K5" s="25" t="e">
        <f ca="1">$E$1*F5*(G5-$C$4)/36000</f>
        <v>#VALUE!</v>
      </c>
      <c r="L5" s="25" t="e">
        <f>$E$4</f>
        <v>#VALUE!</v>
      </c>
      <c r="M5" s="26" t="e">
        <f ca="1">IF($E$5="UAH",J5+L5+K5,J5+K5)</f>
        <v>#VALUE!</v>
      </c>
      <c r="N5" s="27" t="str">
        <f>IF($E$5="UAH","",L5)</f>
        <v/>
      </c>
      <c r="O5" s="28" t="e">
        <f t="shared" ref="O5:O68" ca="1" si="0">O4-J5</f>
        <v>#VALUE!</v>
      </c>
      <c r="P5" s="33">
        <f t="shared" ref="P5:P68" ca="1" si="1">G5</f>
        <v>46074</v>
      </c>
      <c r="Q5" s="8" t="e">
        <f ca="1">IF(R5="",I5,IFERROR(I5+R5,0))</f>
        <v>#VALUE!</v>
      </c>
      <c r="S5" s="8">
        <v>48</v>
      </c>
      <c r="W5" s="12" t="s">
        <v>212</v>
      </c>
      <c r="X5" s="12"/>
      <c r="Y5" s="12">
        <f>Калькулятор!N40</f>
        <v>0</v>
      </c>
    </row>
    <row r="6" spans="1:29" s="8" customFormat="1" ht="13.2" x14ac:dyDescent="0.25">
      <c r="A6" s="12" t="s">
        <v>196</v>
      </c>
      <c r="B6" s="12"/>
      <c r="C6" s="26" t="e">
        <f>IF(E5="EUR",C1*E7,IF(E5="USD",C1*E6,C1))</f>
        <v>#VALUE!</v>
      </c>
      <c r="D6" s="6"/>
      <c r="E6" s="12"/>
      <c r="F6" s="34">
        <f t="shared" ref="F6:F69" ca="1" si="2">IF(G6="Всього:","",IF(AND(G6&gt;$B$9,G6&lt;=$B$10),$C$16,IF(AND(G6&gt;$B$9,G6&lt;=$B$11),$D$16,IF(AND(G6&gt;$B$10,G6&lt;=$B$14),$E$16,$B$16))))</f>
        <v>13.99</v>
      </c>
      <c r="G6" s="23">
        <f ca="1">IF(H5=$E$3,"Всього:",IF($E$3=H6,$B$14,DATE(YEAR(G5),MONTH(G5)+1,IF($B$7&lt;&gt;"",DAY(IF($B$7&gt;DAY(EOMONTH(G5,1)),EOMONTH(G5,1),$B$7)),DAY(1)))))</f>
        <v>46102</v>
      </c>
      <c r="H6" s="24">
        <f t="shared" ref="H6:H69" si="3">IF(H5&gt;$E$8,"",H5+1)</f>
        <v>2</v>
      </c>
      <c r="I6" s="25" t="e">
        <f ca="1">IF($G6="Всього:",SUM($I$4:I5),MAX($C$32,K6))</f>
        <v>#VALUE!</v>
      </c>
      <c r="J6" s="25" t="e">
        <f ca="1">IF($G6="Всього:",SUM($J$4:J5),IF(I6-SUM(K6:L6)&lt;0,0,I6-SUM(K6:L6)))</f>
        <v>#VALUE!</v>
      </c>
      <c r="K6" s="25" t="e">
        <f ca="1">IF(G6="Всього:",SUM($K$5:K5),F6*O5/36000*(G6-G5))</f>
        <v>#VALUE!</v>
      </c>
      <c r="L6" s="25" t="e">
        <f ca="1">IF(G6="Всього:",SUM($L$5:L5),$E$4)</f>
        <v>#VALUE!</v>
      </c>
      <c r="M6" s="25" t="e">
        <f ca="1">IF(G6="Всього:",SUM($M$5:M5),IF($E$5="UAH",J6+L6+K6,J6+K6))</f>
        <v>#VALUE!</v>
      </c>
      <c r="N6" s="27" t="str">
        <f ca="1">IF(G6="Всього:",SUM($N$4:N5),IF($E$5="UAH","",L6))</f>
        <v/>
      </c>
      <c r="O6" s="25" t="e">
        <f t="shared" ca="1" si="0"/>
        <v>#VALUE!</v>
      </c>
      <c r="P6" s="33">
        <f t="shared" ca="1" si="1"/>
        <v>46102</v>
      </c>
      <c r="Q6" s="8" t="e">
        <f t="shared" ref="Q6:Q69" ca="1" si="4">IF(R7="",I6,IFERROR(I6+R7,0))</f>
        <v>#VALUE!</v>
      </c>
      <c r="S6" s="8">
        <v>60</v>
      </c>
      <c r="W6" s="12" t="s">
        <v>213</v>
      </c>
      <c r="X6" s="12"/>
      <c r="Y6" s="12" t="e">
        <f>Z6*E1</f>
        <v>#VALUE!</v>
      </c>
      <c r="Z6" s="60">
        <f>Калькулятор!G9</f>
        <v>9.9000000000000008E-3</v>
      </c>
      <c r="AA6" s="12"/>
    </row>
    <row r="7" spans="1:29" s="8" customFormat="1" ht="13.2" x14ac:dyDescent="0.25">
      <c r="A7" s="12" t="s">
        <v>197</v>
      </c>
      <c r="B7" s="12">
        <f ca="1">DAY(C4)</f>
        <v>21</v>
      </c>
      <c r="C7" s="12"/>
      <c r="D7" s="6"/>
      <c r="E7" s="12"/>
      <c r="F7" s="34">
        <f t="shared" ca="1" si="2"/>
        <v>13.99</v>
      </c>
      <c r="G7" s="23">
        <f t="shared" ref="G7:G70" ca="1" si="5">IF(H6=$E$3,"Всього:",IF($E$3=H7,$B$14,DATE(YEAR(G6),MONTH(G6)+1,IF($B$7&lt;&gt;"",DAY(IF($B$7&gt;DAY(EOMONTH(G6,1)),EOMONTH(G6,1),$B$7)),DAY(1)))))</f>
        <v>46133</v>
      </c>
      <c r="H7" s="24">
        <f t="shared" si="3"/>
        <v>3</v>
      </c>
      <c r="I7" s="25" t="e">
        <f ca="1">IF($G7="Всього:",SUM($I$4:I6),MAX($C$32,K7))</f>
        <v>#VALUE!</v>
      </c>
      <c r="J7" s="25" t="e">
        <f ca="1">IF($G7="Всього:",SUM($J$4:J6),IF(I7-SUM(K7:L7)&lt;0,0,I7-SUM(K7:L7)))</f>
        <v>#VALUE!</v>
      </c>
      <c r="K7" s="25" t="e">
        <f ca="1">IF(G7="Всього:",SUM($K$5:K6),F7*O6/36000*(G7-G6))</f>
        <v>#VALUE!</v>
      </c>
      <c r="L7" s="25" t="e">
        <f ca="1">IF(G7="Всього:",SUM($L$5:L6),$E$4)</f>
        <v>#VALUE!</v>
      </c>
      <c r="M7" s="25" t="e">
        <f ca="1">IF(G7="Всього:",SUM($M$5:M6),IF($E$5="UAH",J7+L7+K7,J7+K7))</f>
        <v>#VALUE!</v>
      </c>
      <c r="N7" s="27" t="str">
        <f ca="1">IF(G7="Всього:",SUM($N$4:N6),IF($E$5="UAH","",L7))</f>
        <v/>
      </c>
      <c r="O7" s="25" t="e">
        <f t="shared" ca="1" si="0"/>
        <v>#VALUE!</v>
      </c>
      <c r="P7" s="33">
        <f t="shared" ca="1" si="1"/>
        <v>46133</v>
      </c>
      <c r="Q7" s="8" t="e">
        <f t="shared" ca="1" si="4"/>
        <v>#VALUE!</v>
      </c>
      <c r="S7" s="8">
        <v>72</v>
      </c>
      <c r="W7" s="12" t="s">
        <v>214</v>
      </c>
      <c r="X7" s="12"/>
      <c r="Y7" s="12">
        <f>Z7*AA7</f>
        <v>131580</v>
      </c>
      <c r="Z7" s="60">
        <f>Калькулятор!G15</f>
        <v>5.16E-2</v>
      </c>
      <c r="AA7" s="26">
        <f>'Калькулятор '!E4</f>
        <v>2550000</v>
      </c>
    </row>
    <row r="8" spans="1:29" s="8" customFormat="1" ht="12.75" customHeight="1" x14ac:dyDescent="0.25">
      <c r="A8" s="12" t="s">
        <v>198</v>
      </c>
      <c r="B8" s="16">
        <f ca="1">C4</f>
        <v>46043</v>
      </c>
      <c r="D8" s="6" t="s">
        <v>199</v>
      </c>
      <c r="E8" s="8">
        <f>E3</f>
        <v>60</v>
      </c>
      <c r="F8" s="34">
        <f t="shared" ca="1" si="2"/>
        <v>13.99</v>
      </c>
      <c r="G8" s="23">
        <f t="shared" ca="1" si="5"/>
        <v>46163</v>
      </c>
      <c r="H8" s="24">
        <f t="shared" si="3"/>
        <v>4</v>
      </c>
      <c r="I8" s="25" t="e">
        <f ca="1">IF($G8="Всього:",SUM($I$4:I7),MAX($C$32,K8))</f>
        <v>#VALUE!</v>
      </c>
      <c r="J8" s="25" t="e">
        <f ca="1">IF($G8="Всього:",SUM($J$4:J7),IF(I8-SUM(K8:L8)&lt;0,0,I8-SUM(K8:L8)))</f>
        <v>#VALUE!</v>
      </c>
      <c r="K8" s="25" t="e">
        <f ca="1">IF(G8="Всього:",SUM($K$5:K7),F8*O7/36000*(G8-G7))</f>
        <v>#VALUE!</v>
      </c>
      <c r="L8" s="25" t="e">
        <f ca="1">IF(G8="Всього:",SUM($L$5:L7),$E$4)</f>
        <v>#VALUE!</v>
      </c>
      <c r="M8" s="25" t="e">
        <f ca="1">IF(G8="Всього:",SUM($M$5:M7),IF($E$5="UAH",J8+L8+K8,J8+K8))</f>
        <v>#VALUE!</v>
      </c>
      <c r="N8" s="27" t="str">
        <f ca="1">IF(G8="Всього:",SUM($N$4:N7),IF($E$5="UAH","",L8))</f>
        <v/>
      </c>
      <c r="O8" s="25" t="e">
        <f t="shared" ca="1" si="0"/>
        <v>#VALUE!</v>
      </c>
      <c r="P8" s="33">
        <f t="shared" ca="1" si="1"/>
        <v>46163</v>
      </c>
      <c r="Q8" s="8" t="e">
        <f t="shared" ca="1" si="4"/>
        <v>#VALUE!</v>
      </c>
      <c r="S8" s="8">
        <v>84</v>
      </c>
      <c r="W8" s="12" t="s">
        <v>215</v>
      </c>
      <c r="X8" s="12"/>
      <c r="Y8" s="12">
        <f>IF('Калькулятор '!E6="Ні",'Калькулятор (реал. ставка)'!C18,0)</f>
        <v>106250</v>
      </c>
      <c r="Z8" s="12">
        <v>250</v>
      </c>
      <c r="AA8" s="12">
        <v>3028</v>
      </c>
    </row>
    <row r="9" spans="1:29" s="8" customFormat="1" ht="13.5" customHeight="1" x14ac:dyDescent="0.25">
      <c r="A9" s="12" t="s">
        <v>200</v>
      </c>
      <c r="B9" s="16">
        <f ca="1">IF('Платоспроможність боржника'!H7="",B14,EDATE($C$4,'Платоспроможність боржника'!$H$7))</f>
        <v>47868</v>
      </c>
      <c r="F9" s="34">
        <f t="shared" ca="1" si="2"/>
        <v>13.99</v>
      </c>
      <c r="G9" s="23">
        <f t="shared" ca="1" si="5"/>
        <v>46194</v>
      </c>
      <c r="H9" s="24">
        <f t="shared" si="3"/>
        <v>5</v>
      </c>
      <c r="I9" s="25" t="e">
        <f ca="1">IF($G9="Всього:",SUM($I$4:I8),MAX($C$32,K9))</f>
        <v>#VALUE!</v>
      </c>
      <c r="J9" s="25" t="e">
        <f ca="1">IF($G9="Всього:",SUM($J$4:J8),IF(I9-SUM(K9:L9)&lt;0,0,I9-SUM(K9:L9)))</f>
        <v>#VALUE!</v>
      </c>
      <c r="K9" s="25" t="e">
        <f ca="1">IF(G9="Всього:",SUM($K$5:K8),F9*O8/36000*(G9-G8))</f>
        <v>#VALUE!</v>
      </c>
      <c r="L9" s="25" t="e">
        <f ca="1">IF(G9="Всього:",SUM($L$5:L8),$E$4)</f>
        <v>#VALUE!</v>
      </c>
      <c r="M9" s="25" t="e">
        <f ca="1">IF(G9="Всього:",SUM($M$5:M8),IF($E$5="UAH",J9+L9+K9,J9+K9))</f>
        <v>#VALUE!</v>
      </c>
      <c r="N9" s="27" t="str">
        <f ca="1">IF(G9="Всього:",SUM($N$4:N8),IF($E$5="UAH","",L9))</f>
        <v/>
      </c>
      <c r="O9" s="25" t="e">
        <f t="shared" ca="1" si="0"/>
        <v>#VALUE!</v>
      </c>
      <c r="P9" s="33">
        <f t="shared" ca="1" si="1"/>
        <v>46194</v>
      </c>
      <c r="Q9" s="8" t="e">
        <f t="shared" ca="1" si="4"/>
        <v>#VALUE!</v>
      </c>
      <c r="W9" s="12" t="s">
        <v>216</v>
      </c>
      <c r="X9" s="12"/>
      <c r="Y9" s="12">
        <f>Калькулятор!N46</f>
        <v>106250</v>
      </c>
    </row>
    <row r="10" spans="1:29" s="8" customFormat="1" ht="13.2" x14ac:dyDescent="0.25">
      <c r="A10" s="12" t="s">
        <v>201</v>
      </c>
      <c r="B10" s="16">
        <f ca="1">IF('Платоспроможність боржника'!I7="",B14,EDATE($C$4,'Платоспроможність боржника'!$H$7+'Платоспроможність боржника'!$I$7))</f>
        <v>47868</v>
      </c>
      <c r="F10" s="34">
        <f t="shared" ca="1" si="2"/>
        <v>13.99</v>
      </c>
      <c r="G10" s="23">
        <f t="shared" ca="1" si="5"/>
        <v>46224</v>
      </c>
      <c r="H10" s="24">
        <f t="shared" si="3"/>
        <v>6</v>
      </c>
      <c r="I10" s="25" t="e">
        <f ca="1">IF($G10="Всього:",SUM($I$4:I9),MAX($C$32,K10))</f>
        <v>#VALUE!</v>
      </c>
      <c r="J10" s="25" t="e">
        <f ca="1">IF($G10="Всього:",SUM($J$4:J9),IF(I10-SUM(K10:L10)&lt;0,0,I10-SUM(K10:L10)))</f>
        <v>#VALUE!</v>
      </c>
      <c r="K10" s="25" t="e">
        <f ca="1">IF(G10="Всього:",SUM($K$5:K9),F10*O9/36000*(G10-G9))</f>
        <v>#VALUE!</v>
      </c>
      <c r="L10" s="25" t="e">
        <f ca="1">IF(G10="Всього:",SUM($L$5:L9),$E$4)</f>
        <v>#VALUE!</v>
      </c>
      <c r="M10" s="25" t="e">
        <f ca="1">IF(G10="Всього:",SUM($M$5:M9),IF($E$5="UAH",J10+L10+K10,J10+K10))</f>
        <v>#VALUE!</v>
      </c>
      <c r="N10" s="27" t="str">
        <f ca="1">IF(G10="Всього:",SUM($N$4:N9),IF($E$5="UAH","",L10))</f>
        <v/>
      </c>
      <c r="O10" s="25" t="e">
        <f t="shared" ca="1" si="0"/>
        <v>#VALUE!</v>
      </c>
      <c r="P10" s="33">
        <f t="shared" ca="1" si="1"/>
        <v>46224</v>
      </c>
      <c r="Q10" s="8" t="e">
        <f t="shared" ca="1" si="4"/>
        <v>#VALUE!</v>
      </c>
      <c r="W10" s="12" t="s">
        <v>217</v>
      </c>
      <c r="X10" s="12"/>
      <c r="Y10" s="39" t="e">
        <f ca="1">IF(E3=S2,XIRR($Q$4:$Q$16,$P$4:$P$16),IF(E3=S3,XIRR($Q$4:$Q$28,$P$4:$P$28),IF(E3=S4,XIRR($Q$4:$Q$40,$P$4:$P$40),IF(E3=S5,XIRR($Q$4:$Q$52,$P$4:$P$52),IF(E3=S6,XIRR($Q$4:$Q$64,$P$4:$P$64),IF(E3=S7,XIRR($Q$4:$Q$76,$P$4:$P$76),IF(E3=S8,XIRR($Q$4:$Q$88,$P$4:$P$88))))))))</f>
        <v>#VALUE!</v>
      </c>
    </row>
    <row r="11" spans="1:29" s="8" customFormat="1" ht="13.2" x14ac:dyDescent="0.25">
      <c r="A11" s="12" t="s">
        <v>202</v>
      </c>
      <c r="B11" s="16">
        <f ca="1">IF('Платоспроможність боржника'!J7="",B14,EDATE($C$4,'Платоспроможність боржника'!$H$7+'Платоспроможність боржника'!$I$7+'Платоспроможність боржника'!$J$7))</f>
        <v>47868</v>
      </c>
      <c r="F11" s="34">
        <f t="shared" ca="1" si="2"/>
        <v>13.99</v>
      </c>
      <c r="G11" s="23">
        <f t="shared" ca="1" si="5"/>
        <v>46255</v>
      </c>
      <c r="H11" s="24">
        <f t="shared" si="3"/>
        <v>7</v>
      </c>
      <c r="I11" s="25" t="e">
        <f ca="1">IF($G11="Всього:",SUM($I$4:I10),MAX($C$32,K11))</f>
        <v>#VALUE!</v>
      </c>
      <c r="J11" s="25" t="e">
        <f ca="1">IF($G11="Всього:",SUM($J$4:J10),IF(I11-SUM(K11:L11)&lt;0,0,I11-SUM(K11:L11)))</f>
        <v>#VALUE!</v>
      </c>
      <c r="K11" s="25" t="e">
        <f ca="1">IF(G11="Всього:",SUM($K$5:K10),F11*O10/36000*(G11-G10))</f>
        <v>#VALUE!</v>
      </c>
      <c r="L11" s="25" t="e">
        <f ca="1">IF(G11="Всього:",SUM($L$5:L10),$E$4)</f>
        <v>#VALUE!</v>
      </c>
      <c r="M11" s="25" t="e">
        <f ca="1">IF(G11="Всього:",SUM($M$5:M10),IF($E$5="UAH",J11+L11+K11,J11+K11))</f>
        <v>#VALUE!</v>
      </c>
      <c r="N11" s="27" t="str">
        <f ca="1">IF(G11="Всього:",SUM($N$4:N10),IF($E$5="UAH","",L11))</f>
        <v/>
      </c>
      <c r="O11" s="25" t="e">
        <f t="shared" ca="1" si="0"/>
        <v>#VALUE!</v>
      </c>
      <c r="P11" s="33">
        <f t="shared" ca="1" si="1"/>
        <v>46255</v>
      </c>
      <c r="Q11" s="8" t="e">
        <f t="shared" ca="1" si="4"/>
        <v>#VALUE!</v>
      </c>
      <c r="R11" s="33"/>
      <c r="W11" s="12" t="s">
        <v>218</v>
      </c>
      <c r="X11" s="12"/>
      <c r="Y11" s="39" t="e">
        <f ca="1">AB2/AC2/E3*12</f>
        <v>#VALUE!</v>
      </c>
    </row>
    <row r="12" spans="1:29" s="8" customFormat="1" ht="13.2" x14ac:dyDescent="0.25">
      <c r="F12" s="34">
        <f t="shared" ca="1" si="2"/>
        <v>13.99</v>
      </c>
      <c r="G12" s="23">
        <f t="shared" ca="1" si="5"/>
        <v>46286</v>
      </c>
      <c r="H12" s="24">
        <f t="shared" si="3"/>
        <v>8</v>
      </c>
      <c r="I12" s="25" t="e">
        <f ca="1">IF($G12="Всього:",SUM($I$4:I11),MAX($C$32,K12))</f>
        <v>#VALUE!</v>
      </c>
      <c r="J12" s="25" t="e">
        <f ca="1">IF($G12="Всього:",SUM($J$4:J11),IF(I12-SUM(K12:L12)&lt;0,0,I12-SUM(K12:L12)))</f>
        <v>#VALUE!</v>
      </c>
      <c r="K12" s="25" t="e">
        <f ca="1">IF(G12="Всього:",SUM($K$5:K11),F12*O11/36000*(G12-G11))</f>
        <v>#VALUE!</v>
      </c>
      <c r="L12" s="25" t="e">
        <f ca="1">IF(G12="Всього:",SUM($L$5:L11),$E$4)</f>
        <v>#VALUE!</v>
      </c>
      <c r="M12" s="25" t="e">
        <f ca="1">IF(G12="Всього:",SUM($M$5:M11),IF($E$5="UAH",J12+L12+K12,J12+K12))</f>
        <v>#VALUE!</v>
      </c>
      <c r="N12" s="27" t="str">
        <f ca="1">IF(G12="Всього:",SUM($N$4:N11),IF($E$5="UAH","",L12))</f>
        <v/>
      </c>
      <c r="O12" s="25" t="e">
        <f t="shared" ca="1" si="0"/>
        <v>#VALUE!</v>
      </c>
      <c r="P12" s="33">
        <f t="shared" ca="1" si="1"/>
        <v>46286</v>
      </c>
      <c r="Q12" s="8" t="e">
        <f t="shared" ca="1" si="4"/>
        <v>#VALUE!</v>
      </c>
      <c r="R12" s="33"/>
      <c r="W12" s="12" t="s">
        <v>219</v>
      </c>
      <c r="X12" s="12"/>
      <c r="Y12" s="12">
        <f>Калькулятор!N43+Калькулятор!N37</f>
        <v>0</v>
      </c>
    </row>
    <row r="13" spans="1:29" s="8" customFormat="1" ht="13.2" x14ac:dyDescent="0.25">
      <c r="F13" s="34">
        <f t="shared" ca="1" si="2"/>
        <v>13.99</v>
      </c>
      <c r="G13" s="23">
        <f t="shared" ca="1" si="5"/>
        <v>46316</v>
      </c>
      <c r="H13" s="24">
        <f t="shared" si="3"/>
        <v>9</v>
      </c>
      <c r="I13" s="25" t="e">
        <f ca="1">IF($G13="Всього:",SUM($I$4:I12),MAX($C$32,K13))</f>
        <v>#VALUE!</v>
      </c>
      <c r="J13" s="25" t="e">
        <f ca="1">IF($G13="Всього:",SUM($J$4:J12),IF(I13-SUM(K13:L13)&lt;0,0,I13-SUM(K13:L13)))</f>
        <v>#VALUE!</v>
      </c>
      <c r="K13" s="25" t="e">
        <f ca="1">IF(G13="Всього:",SUM($K$5:K12),F13*O12/36000*(G13-G12))</f>
        <v>#VALUE!</v>
      </c>
      <c r="L13" s="25" t="e">
        <f ca="1">IF(G13="Всього:",SUM($L$5:L12),$E$4)</f>
        <v>#VALUE!</v>
      </c>
      <c r="M13" s="25" t="e">
        <f ca="1">IF(G13="Всього:",SUM($M$5:M12),IF($E$5="UAH",J13+L13+K13,J13+K13))</f>
        <v>#VALUE!</v>
      </c>
      <c r="N13" s="27" t="str">
        <f ca="1">IF(G13="Всього:",SUM($N$4:N12),IF($E$5="UAH","",L13))</f>
        <v/>
      </c>
      <c r="O13" s="25" t="e">
        <f t="shared" ca="1" si="0"/>
        <v>#VALUE!</v>
      </c>
      <c r="P13" s="33">
        <f t="shared" ca="1" si="1"/>
        <v>46316</v>
      </c>
      <c r="Q13" s="8" t="e">
        <f t="shared" ca="1" si="4"/>
        <v>#VALUE!</v>
      </c>
    </row>
    <row r="14" spans="1:29" s="8" customFormat="1" ht="13.2" x14ac:dyDescent="0.25">
      <c r="A14" s="12" t="s">
        <v>203</v>
      </c>
      <c r="B14" s="23">
        <f ca="1">EDATE($C$4,$E$3)-1</f>
        <v>47868</v>
      </c>
      <c r="F14" s="34">
        <f t="shared" ca="1" si="2"/>
        <v>13.99</v>
      </c>
      <c r="G14" s="23">
        <f t="shared" ca="1" si="5"/>
        <v>46347</v>
      </c>
      <c r="H14" s="24">
        <f t="shared" si="3"/>
        <v>10</v>
      </c>
      <c r="I14" s="25" t="e">
        <f ca="1">IF($G14="Всього:",SUM($I$4:I13),MAX($C$32,K14))</f>
        <v>#VALUE!</v>
      </c>
      <c r="J14" s="25" t="e">
        <f ca="1">IF($G14="Всього:",SUM($J$4:J13),IF(I14-SUM(K14:L14)&lt;0,0,I14-SUM(K14:L14)))</f>
        <v>#VALUE!</v>
      </c>
      <c r="K14" s="25" t="e">
        <f ca="1">IF(G14="Всього:",SUM($K$5:K13),F14*O13/36000*(G14-G13))</f>
        <v>#VALUE!</v>
      </c>
      <c r="L14" s="25" t="e">
        <f ca="1">IF(G14="Всього:",SUM($L$5:L13),$E$4)</f>
        <v>#VALUE!</v>
      </c>
      <c r="M14" s="25" t="e">
        <f ca="1">IF(G14="Всього:",SUM($M$5:M13),IF($E$5="UAH",J14+L14+K14,J14+K14))</f>
        <v>#VALUE!</v>
      </c>
      <c r="N14" s="27" t="str">
        <f ca="1">IF(G14="Всього:",SUM($N$4:N13),IF($E$5="UAH","",L14))</f>
        <v/>
      </c>
      <c r="O14" s="25" t="e">
        <f t="shared" ca="1" si="0"/>
        <v>#VALUE!</v>
      </c>
      <c r="P14" s="33">
        <f t="shared" ca="1" si="1"/>
        <v>46347</v>
      </c>
      <c r="Q14" s="8" t="e">
        <f t="shared" ca="1" si="4"/>
        <v>#VALUE!</v>
      </c>
      <c r="T14" s="8">
        <v>315373.34000000003</v>
      </c>
      <c r="U14" s="8" t="e">
        <f>T14+Q4</f>
        <v>#VALUE!</v>
      </c>
      <c r="X14" s="8">
        <v>2500000</v>
      </c>
    </row>
    <row r="15" spans="1:29" s="8" customFormat="1" x14ac:dyDescent="0.3">
      <c r="A15"/>
      <c r="B15"/>
      <c r="F15" s="34">
        <f t="shared" ca="1" si="2"/>
        <v>13.99</v>
      </c>
      <c r="G15" s="23">
        <f t="shared" ca="1" si="5"/>
        <v>46377</v>
      </c>
      <c r="H15" s="24">
        <f t="shared" si="3"/>
        <v>11</v>
      </c>
      <c r="I15" s="25" t="e">
        <f ca="1">IF($G15="Всього:",SUM($I$4:I14),MAX($C$32,K15))</f>
        <v>#VALUE!</v>
      </c>
      <c r="J15" s="25" t="e">
        <f ca="1">IF($G15="Всього:",SUM($J$4:J14),IF(I15-SUM(K15:L15)&lt;0,0,I15-SUM(K15:L15)))</f>
        <v>#VALUE!</v>
      </c>
      <c r="K15" s="25" t="e">
        <f ca="1">IF(G15="Всього:",SUM($K$5:K14),F15*O14/36000*(G15-G14))</f>
        <v>#VALUE!</v>
      </c>
      <c r="L15" s="25" t="e">
        <f ca="1">IF(G15="Всього:",SUM($L$5:L14),$E$4)</f>
        <v>#VALUE!</v>
      </c>
      <c r="M15" s="25" t="e">
        <f ca="1">IF(G15="Всього:",SUM($M$5:M14),IF($E$5="UAH",J15+L15+K15,J15+K15))</f>
        <v>#VALUE!</v>
      </c>
      <c r="N15" s="27" t="str">
        <f ca="1">IF(G15="Всього:",SUM($N$4:N14),IF($E$5="UAH","",L15))</f>
        <v/>
      </c>
      <c r="O15" s="25" t="e">
        <f t="shared" ca="1" si="0"/>
        <v>#VALUE!</v>
      </c>
      <c r="P15" s="33">
        <f t="shared" ca="1" si="1"/>
        <v>46377</v>
      </c>
      <c r="Q15" s="8" t="e">
        <f t="shared" ca="1" si="4"/>
        <v>#VALUE!</v>
      </c>
      <c r="U15" s="8" t="e">
        <f>400000-Y8-W13-Y6-Y5</f>
        <v>#VALUE!</v>
      </c>
      <c r="X15" s="12"/>
      <c r="Y15" s="12">
        <v>12</v>
      </c>
      <c r="Z15" s="12">
        <v>24</v>
      </c>
      <c r="AA15" s="12">
        <v>36</v>
      </c>
      <c r="AB15" s="12">
        <v>48</v>
      </c>
      <c r="AC15" s="12">
        <v>60</v>
      </c>
    </row>
    <row r="16" spans="1:29" s="8" customFormat="1" x14ac:dyDescent="0.3">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13.99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13.99</v>
      </c>
      <c r="G16" s="23">
        <f t="shared" ca="1" si="5"/>
        <v>46408</v>
      </c>
      <c r="H16" s="24">
        <f t="shared" si="3"/>
        <v>12</v>
      </c>
      <c r="I16" s="25" t="e">
        <f ca="1">IF($G16="Всього:",SUM($I$4:I15),MAX($C$32,K16))</f>
        <v>#VALUE!</v>
      </c>
      <c r="J16" s="25" t="e">
        <f ca="1">IF($G16="Всього:",SUM($J$4:J15),IF(I16-SUM(K16:L16)&lt;0,0,I16-SUM(K16:L16)))</f>
        <v>#VALUE!</v>
      </c>
      <c r="K16" s="25" t="e">
        <f ca="1">IF(G16="Всього:",SUM($K$5:K15),F16*O15/36000*(G16-G15))</f>
        <v>#VALUE!</v>
      </c>
      <c r="L16" s="25" t="e">
        <f ca="1">IF(G16="Всього:",SUM($L$5:L15),$E$4)</f>
        <v>#VALUE!</v>
      </c>
      <c r="M16" s="25" t="e">
        <f ca="1">IF(G16="Всього:",SUM($M$5:M15),IF($E$5="UAH",J16+L16+K16,J16+K16))</f>
        <v>#VALUE!</v>
      </c>
      <c r="N16" s="27" t="str">
        <f ca="1">IF(G16="Всього:",SUM($N$4:N15),IF($E$5="UAH","",L16))</f>
        <v/>
      </c>
      <c r="O16" s="25" t="e">
        <f t="shared" ca="1" si="0"/>
        <v>#VALUE!</v>
      </c>
      <c r="P16" s="33">
        <f t="shared" ca="1" si="1"/>
        <v>46408</v>
      </c>
      <c r="Q16" s="8">
        <f t="shared" ca="1" si="4"/>
        <v>0</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13.99</v>
      </c>
      <c r="G17" s="23">
        <f t="shared" ca="1" si="5"/>
        <v>46439</v>
      </c>
      <c r="H17" s="24">
        <f t="shared" si="3"/>
        <v>13</v>
      </c>
      <c r="I17" s="25" t="e">
        <f ca="1">IF($G17="Всього:",SUM($I$4:I16),MAX($C$32,K17))</f>
        <v>#VALUE!</v>
      </c>
      <c r="J17" s="25" t="e">
        <f ca="1">IF($G17="Всього:",SUM($J$4:J16),IF(I17-SUM(K17:L17)&lt;0,0,I17-SUM(K17:L17)))</f>
        <v>#VALUE!</v>
      </c>
      <c r="K17" s="25" t="e">
        <f ca="1">IF(G17="Всього:",SUM($K$5:K16),F17*O16/36000*(G17-G16))</f>
        <v>#VALUE!</v>
      </c>
      <c r="L17" s="25" t="e">
        <f ca="1">IF(G17="Всього:",SUM($L$5:L16),$E$4)</f>
        <v>#VALUE!</v>
      </c>
      <c r="M17" s="25" t="e">
        <f ca="1">IF(G17="Всього:",SUM($M$5:M16),IF($E$5="UAH",J17+L17+K17,J17+K17))</f>
        <v>#VALUE!</v>
      </c>
      <c r="N17" s="27" t="str">
        <f ca="1">IF(G17="Всього:",SUM($N$4:N16),IF($E$5="UAH","",L17))</f>
        <v/>
      </c>
      <c r="O17" s="25" t="e">
        <f t="shared" ca="1" si="0"/>
        <v>#VALUE!</v>
      </c>
      <c r="P17" s="33">
        <f t="shared" ca="1" si="1"/>
        <v>46439</v>
      </c>
      <c r="Q17" s="8" t="e">
        <f t="shared" ca="1" si="4"/>
        <v>#VALUE!</v>
      </c>
      <c r="R17" s="8">
        <f>IF(E8&gt;H17,$AA$7*0.9*5.48%,"")</f>
        <v>125766</v>
      </c>
      <c r="X17" s="38">
        <v>0.4</v>
      </c>
      <c r="Y17" s="39">
        <v>0.58652825951576248</v>
      </c>
      <c r="Z17" s="39">
        <v>0.47590692639350884</v>
      </c>
      <c r="AA17" s="39">
        <v>0.4290104568004609</v>
      </c>
      <c r="AB17" s="39">
        <v>0.40521309971809383</v>
      </c>
      <c r="AC17" s="39">
        <v>0.37881106734275816</v>
      </c>
    </row>
    <row r="18" spans="1:36" s="8" customFormat="1" ht="13.2" x14ac:dyDescent="0.25">
      <c r="A18" s="59" t="s">
        <v>220</v>
      </c>
      <c r="B18" s="12">
        <v>0</v>
      </c>
      <c r="C18" s="8" t="s">
        <v>221</v>
      </c>
      <c r="D18" s="33"/>
      <c r="F18" s="34">
        <f t="shared" ca="1" si="2"/>
        <v>13.99</v>
      </c>
      <c r="G18" s="23">
        <f t="shared" ca="1" si="5"/>
        <v>46467</v>
      </c>
      <c r="H18" s="24">
        <f t="shared" si="3"/>
        <v>14</v>
      </c>
      <c r="I18" s="25" t="e">
        <f ca="1">IF($G18="Всього:",SUM($I$4:I17),MAX($C$32,K18))</f>
        <v>#VALUE!</v>
      </c>
      <c r="J18" s="25" t="e">
        <f ca="1">IF($G18="Всього:",SUM($J$4:J17),IF(I18-SUM(K18:L18)&lt;0,0,I18-SUM(K18:L18)))</f>
        <v>#VALUE!</v>
      </c>
      <c r="K18" s="25" t="e">
        <f ca="1">IF(G18="Всього:",SUM($K$5:K17),F18*O17/36000*(G18-G17))</f>
        <v>#VALUE!</v>
      </c>
      <c r="L18" s="25" t="e">
        <f ca="1">IF(G18="Всього:",SUM($L$5:L17),$E$4)</f>
        <v>#VALUE!</v>
      </c>
      <c r="M18" s="25" t="e">
        <f ca="1">IF(G18="Всього:",SUM($M$5:M17),IF($E$5="UAH",J18+L18+K18,J18+K18))</f>
        <v>#VALUE!</v>
      </c>
      <c r="N18" s="27" t="str">
        <f ca="1">IF(G18="Всього:",SUM($N$4:N17),IF($E$5="UAH","",L18))</f>
        <v/>
      </c>
      <c r="O18" s="25" t="e">
        <f t="shared" ca="1" si="0"/>
        <v>#VALUE!</v>
      </c>
      <c r="P18" s="33">
        <f t="shared" ca="1" si="1"/>
        <v>46467</v>
      </c>
      <c r="Q18" s="8" t="e">
        <f t="shared" ca="1" si="4"/>
        <v>#VALUE!</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222</v>
      </c>
      <c r="B19" s="59">
        <v>0</v>
      </c>
      <c r="C19" s="11"/>
      <c r="D19" s="11"/>
      <c r="E19" s="11"/>
      <c r="F19" s="34">
        <f t="shared" ca="1" si="2"/>
        <v>13.99</v>
      </c>
      <c r="G19" s="23">
        <f t="shared" ca="1" si="5"/>
        <v>46498</v>
      </c>
      <c r="H19" s="24">
        <f t="shared" si="3"/>
        <v>15</v>
      </c>
      <c r="I19" s="25" t="e">
        <f ca="1">IF($G19="Всього:",SUM($I$4:I18),MAX($C$32,K19))</f>
        <v>#VALUE!</v>
      </c>
      <c r="J19" s="25" t="e">
        <f ca="1">IF($G19="Всього:",SUM($J$4:J18),IF(I19-SUM(K19:L19)&lt;0,0,I19-SUM(K19:L19)))</f>
        <v>#VALUE!</v>
      </c>
      <c r="K19" s="25" t="e">
        <f ca="1">IF(G19="Всього:",SUM($K$5:K18),F19*O18/36000*(G19-G18))</f>
        <v>#VALUE!</v>
      </c>
      <c r="L19" s="25" t="e">
        <f ca="1">IF(G19="Всього:",SUM($L$5:L18),$E$4)</f>
        <v>#VALUE!</v>
      </c>
      <c r="M19" s="25" t="e">
        <f ca="1">IF(G19="Всього:",SUM($M$5:M18),IF($E$5="UAH",J19+L19+K19,J19+K19))</f>
        <v>#VALUE!</v>
      </c>
      <c r="N19" s="27" t="str">
        <f ca="1">IF(G19="Всього:",SUM($N$4:N18),IF($E$5="UAH","",L19))</f>
        <v/>
      </c>
      <c r="O19" s="25" t="e">
        <f t="shared" ca="1" si="0"/>
        <v>#VALUE!</v>
      </c>
      <c r="P19" s="33">
        <f t="shared" ca="1" si="1"/>
        <v>46498</v>
      </c>
      <c r="Q19" s="8" t="e">
        <f t="shared" ca="1" si="4"/>
        <v>#VALUE!</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13.99</v>
      </c>
      <c r="G20" s="23">
        <f t="shared" ca="1" si="5"/>
        <v>46528</v>
      </c>
      <c r="H20" s="24">
        <f t="shared" si="3"/>
        <v>16</v>
      </c>
      <c r="I20" s="25" t="e">
        <f ca="1">IF($G20="Всього:",SUM($I$4:I19),MAX($C$32,K20))</f>
        <v>#VALUE!</v>
      </c>
      <c r="J20" s="25" t="e">
        <f ca="1">IF($G20="Всього:",SUM($J$4:J19),IF(I20-SUM(K20:L20)&lt;0,0,I20-SUM(K20:L20)))</f>
        <v>#VALUE!</v>
      </c>
      <c r="K20" s="25" t="e">
        <f ca="1">IF(G20="Всього:",SUM($K$5:K19),F20*O19/36000*(G20-G19))</f>
        <v>#VALUE!</v>
      </c>
      <c r="L20" s="25" t="e">
        <f ca="1">IF(G20="Всього:",SUM($L$5:L19),$E$4)</f>
        <v>#VALUE!</v>
      </c>
      <c r="M20" s="25" t="e">
        <f ca="1">IF(G20="Всього:",SUM($M$5:M19),IF($E$5="UAH",J20+L20+K20,J20+K20))</f>
        <v>#VALUE!</v>
      </c>
      <c r="N20" s="27" t="str">
        <f ca="1">IF(G20="Всього:",SUM($N$4:N19),IF($E$5="UAH","",L20))</f>
        <v/>
      </c>
      <c r="O20" s="25" t="e">
        <f t="shared" ca="1" si="0"/>
        <v>#VALUE!</v>
      </c>
      <c r="P20" s="33">
        <f t="shared" ca="1" si="1"/>
        <v>46528</v>
      </c>
      <c r="Q20" s="8" t="e">
        <f t="shared" ca="1" si="4"/>
        <v>#VALUE!</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13.99</v>
      </c>
      <c r="G21" s="23">
        <f t="shared" ca="1" si="5"/>
        <v>46559</v>
      </c>
      <c r="H21" s="24">
        <f t="shared" si="3"/>
        <v>17</v>
      </c>
      <c r="I21" s="25" t="e">
        <f ca="1">IF($G21="Всього:",SUM($I$4:I20),MAX($C$32,K21))</f>
        <v>#VALUE!</v>
      </c>
      <c r="J21" s="25" t="e">
        <f ca="1">IF($G21="Всього:",SUM($J$4:J20),IF(I21-SUM(K21:L21)&lt;0,0,I21-SUM(K21:L21)))</f>
        <v>#VALUE!</v>
      </c>
      <c r="K21" s="25" t="e">
        <f ca="1">IF(G21="Всього:",SUM($K$5:K20),F21*O20/36000*(G21-G20))</f>
        <v>#VALUE!</v>
      </c>
      <c r="L21" s="25" t="e">
        <f ca="1">IF(G21="Всього:",SUM($L$5:L20),$E$4)</f>
        <v>#VALUE!</v>
      </c>
      <c r="M21" s="25" t="e">
        <f ca="1">IF(G21="Всього:",SUM($M$5:M20),IF($E$5="UAH",J21+L21+K21,J21+K21))</f>
        <v>#VALUE!</v>
      </c>
      <c r="N21" s="27" t="str">
        <f ca="1">IF(G21="Всього:",SUM($N$4:N20),IF($E$5="UAH","",L21))</f>
        <v/>
      </c>
      <c r="O21" s="25" t="e">
        <f t="shared" ca="1" si="0"/>
        <v>#VALUE!</v>
      </c>
      <c r="P21" s="33">
        <f t="shared" ca="1" si="1"/>
        <v>46559</v>
      </c>
      <c r="Q21" s="8" t="e">
        <f t="shared" ca="1" si="4"/>
        <v>#VALUE!</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13.99</v>
      </c>
      <c r="G22" s="23">
        <f t="shared" ca="1" si="5"/>
        <v>46589</v>
      </c>
      <c r="H22" s="24">
        <f t="shared" si="3"/>
        <v>18</v>
      </c>
      <c r="I22" s="25" t="e">
        <f ca="1">IF($G22="Всього:",SUM($I$4:I21),MAX($C$32,K22))</f>
        <v>#VALUE!</v>
      </c>
      <c r="J22" s="25" t="e">
        <f ca="1">IF($G22="Всього:",SUM($J$4:J21),IF(I22-SUM(K22:L22)&lt;0,0,I22-SUM(K22:L22)))</f>
        <v>#VALUE!</v>
      </c>
      <c r="K22" s="25" t="e">
        <f ca="1">IF(G22="Всього:",SUM($K$5:K21),F22*O21/36000*(G22-G21))</f>
        <v>#VALUE!</v>
      </c>
      <c r="L22" s="25" t="e">
        <f ca="1">IF(G22="Всього:",SUM($L$5:L21),$E$4)</f>
        <v>#VALUE!</v>
      </c>
      <c r="M22" s="25" t="e">
        <f ca="1">IF(G22="Всього:",SUM($M$5:M21),IF($E$5="UAH",J22+L22+K22,J22+K22))</f>
        <v>#VALUE!</v>
      </c>
      <c r="N22" s="27" t="str">
        <f ca="1">IF(G22="Всього:",SUM($N$4:N21),IF($E$5="UAH","",L22))</f>
        <v/>
      </c>
      <c r="O22" s="25" t="e">
        <f t="shared" ca="1" si="0"/>
        <v>#VALUE!</v>
      </c>
      <c r="P22" s="33">
        <f t="shared" ca="1" si="1"/>
        <v>46589</v>
      </c>
      <c r="Q22" s="8" t="e">
        <f t="shared" ca="1" si="4"/>
        <v>#VALUE!</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13.99</v>
      </c>
      <c r="G23" s="23">
        <f t="shared" ca="1" si="5"/>
        <v>46620</v>
      </c>
      <c r="H23" s="24">
        <f t="shared" si="3"/>
        <v>19</v>
      </c>
      <c r="I23" s="25" t="e">
        <f ca="1">IF($G23="Всього:",SUM($I$4:I22),MAX($C$32,K23))</f>
        <v>#VALUE!</v>
      </c>
      <c r="J23" s="25" t="e">
        <f ca="1">IF($G23="Всього:",SUM($J$4:J22),IF(I23-SUM(K23:L23)&lt;0,0,I23-SUM(K23:L23)))</f>
        <v>#VALUE!</v>
      </c>
      <c r="K23" s="25" t="e">
        <f ca="1">IF(G23="Всього:",SUM($K$5:K22),F23*O22/36000*(G23-G22))</f>
        <v>#VALUE!</v>
      </c>
      <c r="L23" s="25" t="e">
        <f ca="1">IF(G23="Всього:",SUM($L$5:L22),$E$4)</f>
        <v>#VALUE!</v>
      </c>
      <c r="M23" s="25" t="e">
        <f ca="1">IF(G23="Всього:",SUM($M$5:M22),IF($E$5="UAH",J23+L23+K23,J23+K23))</f>
        <v>#VALUE!</v>
      </c>
      <c r="N23" s="27" t="str">
        <f ca="1">IF(G23="Всього:",SUM($N$4:N22),IF($E$5="UAH","",L23))</f>
        <v/>
      </c>
      <c r="O23" s="25" t="e">
        <f t="shared" ca="1" si="0"/>
        <v>#VALUE!</v>
      </c>
      <c r="P23" s="33">
        <f t="shared" ca="1" si="1"/>
        <v>46620</v>
      </c>
      <c r="Q23" s="8" t="e">
        <f t="shared" ca="1" si="4"/>
        <v>#VALUE!</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13.99</v>
      </c>
      <c r="G24" s="23">
        <f t="shared" ca="1" si="5"/>
        <v>46651</v>
      </c>
      <c r="H24" s="24">
        <f t="shared" si="3"/>
        <v>20</v>
      </c>
      <c r="I24" s="25" t="e">
        <f ca="1">IF($G24="Всього:",SUM($I$4:I23),MAX($C$32,K24))</f>
        <v>#VALUE!</v>
      </c>
      <c r="J24" s="25" t="e">
        <f ca="1">IF($G24="Всього:",SUM($J$4:J23),IF(I24-SUM(K24:L24)&lt;0,0,I24-SUM(K24:L24)))</f>
        <v>#VALUE!</v>
      </c>
      <c r="K24" s="25" t="e">
        <f ca="1">IF(G24="Всього:",SUM($K$5:K23),F24*O23/36000*(G24-G23))</f>
        <v>#VALUE!</v>
      </c>
      <c r="L24" s="25" t="e">
        <f ca="1">IF(G24="Всього:",SUM($L$5:L23),$E$4)</f>
        <v>#VALUE!</v>
      </c>
      <c r="M24" s="25" t="e">
        <f ca="1">IF(G24="Всього:",SUM($M$5:M23),IF($E$5="UAH",J24+L24+K24,J24+K24))</f>
        <v>#VALUE!</v>
      </c>
      <c r="N24" s="27" t="str">
        <f ca="1">IF(G24="Всього:",SUM($N$4:N23),IF($E$5="UAH","",L24))</f>
        <v/>
      </c>
      <c r="O24" s="25" t="e">
        <f t="shared" ca="1" si="0"/>
        <v>#VALUE!</v>
      </c>
      <c r="P24" s="33">
        <f t="shared" ca="1" si="1"/>
        <v>46651</v>
      </c>
      <c r="Q24" s="8" t="e">
        <f t="shared" ca="1" si="4"/>
        <v>#VALUE!</v>
      </c>
      <c r="S24" s="32"/>
      <c r="X24" s="38">
        <v>0.4</v>
      </c>
      <c r="Y24" s="39"/>
      <c r="Z24" s="39"/>
      <c r="AA24" s="39"/>
      <c r="AB24" s="39"/>
      <c r="AC24" s="39"/>
    </row>
    <row r="25" spans="1:36" s="8" customFormat="1" ht="13.2" x14ac:dyDescent="0.25">
      <c r="A25" s="11"/>
      <c r="B25" s="11"/>
      <c r="C25" s="11"/>
      <c r="D25" s="11"/>
      <c r="E25" s="11"/>
      <c r="F25" s="34">
        <f t="shared" ca="1" si="2"/>
        <v>13.99</v>
      </c>
      <c r="G25" s="23">
        <f t="shared" ca="1" si="5"/>
        <v>46681</v>
      </c>
      <c r="H25" s="24">
        <f t="shared" si="3"/>
        <v>21</v>
      </c>
      <c r="I25" s="25" t="e">
        <f ca="1">IF($G25="Всього:",SUM($I$4:I24),MAX($C$32,K25))</f>
        <v>#VALUE!</v>
      </c>
      <c r="J25" s="25" t="e">
        <f ca="1">IF($G25="Всього:",SUM($J$4:J24),IF(I25-SUM(K25:L25)&lt;0,0,I25-SUM(K25:L25)))</f>
        <v>#VALUE!</v>
      </c>
      <c r="K25" s="25" t="e">
        <f ca="1">IF(G25="Всього:",SUM($K$5:K24),F25*O24/36000*(G25-G24))</f>
        <v>#VALUE!</v>
      </c>
      <c r="L25" s="25" t="e">
        <f ca="1">IF(G25="Всього:",SUM($L$5:L24),$E$4)</f>
        <v>#VALUE!</v>
      </c>
      <c r="M25" s="25" t="e">
        <f ca="1">IF(G25="Всього:",SUM($M$5:M24),IF($E$5="UAH",J25+L25+K25,J25+K25))</f>
        <v>#VALUE!</v>
      </c>
      <c r="N25" s="27" t="str">
        <f ca="1">IF(G25="Всього:",SUM($N$4:N24),IF($E$5="UAH","",L25))</f>
        <v/>
      </c>
      <c r="O25" s="25" t="e">
        <f t="shared" ca="1" si="0"/>
        <v>#VALUE!</v>
      </c>
      <c r="P25" s="33">
        <f t="shared" ca="1" si="1"/>
        <v>46681</v>
      </c>
      <c r="Q25" s="8" t="e">
        <f t="shared" ca="1" si="4"/>
        <v>#VALUE!</v>
      </c>
      <c r="X25" s="38">
        <v>0.5</v>
      </c>
      <c r="Y25" s="39"/>
      <c r="Z25" s="39"/>
      <c r="AA25" s="39"/>
      <c r="AB25" s="39"/>
      <c r="AC25" s="39"/>
    </row>
    <row r="26" spans="1:36" s="8" customFormat="1" ht="13.2" x14ac:dyDescent="0.25">
      <c r="A26" s="11"/>
      <c r="B26" s="11"/>
      <c r="C26" s="11"/>
      <c r="D26" s="11"/>
      <c r="E26" s="11"/>
      <c r="F26" s="34">
        <f t="shared" ca="1" si="2"/>
        <v>13.99</v>
      </c>
      <c r="G26" s="23">
        <f t="shared" ca="1" si="5"/>
        <v>46712</v>
      </c>
      <c r="H26" s="24">
        <f t="shared" si="3"/>
        <v>22</v>
      </c>
      <c r="I26" s="25" t="e">
        <f ca="1">IF($G26="Всього:",SUM($I$4:I25),MAX($C$32,K26))</f>
        <v>#VALUE!</v>
      </c>
      <c r="J26" s="25" t="e">
        <f ca="1">IF($G26="Всього:",SUM($J$4:J25),IF(I26-SUM(K26:L26)&lt;0,0,I26-SUM(K26:L26)))</f>
        <v>#VALUE!</v>
      </c>
      <c r="K26" s="25" t="e">
        <f ca="1">IF(G26="Всього:",SUM($K$5:K25),F26*O25/36000*(G26-G25))</f>
        <v>#VALUE!</v>
      </c>
      <c r="L26" s="25" t="e">
        <f ca="1">IF(G26="Всього:",SUM($L$5:L25),$E$4)</f>
        <v>#VALUE!</v>
      </c>
      <c r="M26" s="25" t="e">
        <f ca="1">IF(G26="Всього:",SUM($M$5:M25),IF($E$5="UAH",J26+L26+K26,J26+K26))</f>
        <v>#VALUE!</v>
      </c>
      <c r="N26" s="27" t="str">
        <f ca="1">IF(G26="Всього:",SUM($N$4:N25),IF($E$5="UAH","",L26))</f>
        <v/>
      </c>
      <c r="O26" s="25" t="e">
        <f t="shared" ca="1" si="0"/>
        <v>#VALUE!</v>
      </c>
      <c r="P26" s="33">
        <f t="shared" ca="1" si="1"/>
        <v>46712</v>
      </c>
      <c r="Q26" s="8" t="e">
        <f t="shared" ca="1" si="4"/>
        <v>#VALUE!</v>
      </c>
      <c r="X26" s="38">
        <v>0.6</v>
      </c>
      <c r="Y26" s="39"/>
      <c r="Z26" s="39"/>
      <c r="AA26" s="39"/>
      <c r="AB26" s="39"/>
      <c r="AC26" s="39"/>
    </row>
    <row r="27" spans="1:36" s="8" customFormat="1" ht="13.2" x14ac:dyDescent="0.25">
      <c r="A27" s="11"/>
      <c r="B27" s="11"/>
      <c r="C27" s="11"/>
      <c r="D27" s="11"/>
      <c r="E27" s="11"/>
      <c r="F27" s="34">
        <f t="shared" ca="1" si="2"/>
        <v>13.99</v>
      </c>
      <c r="G27" s="23">
        <f t="shared" ca="1" si="5"/>
        <v>46742</v>
      </c>
      <c r="H27" s="24">
        <f t="shared" si="3"/>
        <v>23</v>
      </c>
      <c r="I27" s="25" t="e">
        <f ca="1">IF($G27="Всього:",SUM($I$4:I26),MAX($C$32,K27))</f>
        <v>#VALUE!</v>
      </c>
      <c r="J27" s="25" t="e">
        <f ca="1">IF($G27="Всього:",SUM($J$4:J26),IF(I27-SUM(K27:L27)&lt;0,0,I27-SUM(K27:L27)))</f>
        <v>#VALUE!</v>
      </c>
      <c r="K27" s="25" t="e">
        <f ca="1">IF(G27="Всього:",SUM($K$5:K26),F27*O26/36000*(G27-G26))</f>
        <v>#VALUE!</v>
      </c>
      <c r="L27" s="25" t="e">
        <f ca="1">IF(G27="Всього:",SUM($L$5:L26),$E$4)</f>
        <v>#VALUE!</v>
      </c>
      <c r="M27" s="25" t="e">
        <f ca="1">IF(G27="Всього:",SUM($M$5:M26),IF($E$5="UAH",J27+L27+K27,J27+K27))</f>
        <v>#VALUE!</v>
      </c>
      <c r="N27" s="27" t="str">
        <f ca="1">IF(G27="Всього:",SUM($N$4:N26),IF($E$5="UAH","",L27))</f>
        <v/>
      </c>
      <c r="O27" s="25" t="e">
        <f t="shared" ca="1" si="0"/>
        <v>#VALUE!</v>
      </c>
      <c r="P27" s="33">
        <f t="shared" ca="1" si="1"/>
        <v>46742</v>
      </c>
      <c r="Q27" s="8" t="e">
        <f t="shared" ca="1" si="4"/>
        <v>#VALUE!</v>
      </c>
      <c r="X27" s="39">
        <v>0.7</v>
      </c>
      <c r="Y27" s="39">
        <v>1.0437223553657533</v>
      </c>
      <c r="Z27" s="39"/>
      <c r="AA27" s="39"/>
      <c r="AB27" s="39"/>
      <c r="AC27" s="39"/>
      <c r="AG27" s="40"/>
    </row>
    <row r="28" spans="1:36" s="8" customFormat="1" ht="13.2" x14ac:dyDescent="0.25">
      <c r="F28" s="34">
        <f t="shared" ca="1" si="2"/>
        <v>13.99</v>
      </c>
      <c r="G28" s="23">
        <f ca="1">IF(H27=$E$3,"Всього:",IF($E$3=H28,$B$14,DATE(YEAR(G27),MONTH(G27)+1,IF($B$7&lt;&gt;"",DAY(IF($B$7&gt;DAY(EOMONTH(G27,1)),EOMONTH(G27,1),$B$7)),DAY(1)))))</f>
        <v>46773</v>
      </c>
      <c r="H28" s="24">
        <f t="shared" si="3"/>
        <v>24</v>
      </c>
      <c r="I28" s="25">
        <v>33016.529340613146</v>
      </c>
      <c r="J28" s="25" t="e">
        <f ca="1">IF($G28="Всього:",SUM($J$4:J27),IF(I28-SUM(K28:L28)&lt;0,0,I28-SUM(K28:L28)))</f>
        <v>#VALUE!</v>
      </c>
      <c r="K28" s="25" t="e">
        <f ca="1">IF(G28="Всього:",SUM($K$5:K27),F28*O27/36000*(G28-G27))</f>
        <v>#VALUE!</v>
      </c>
      <c r="L28" s="25" t="e">
        <f ca="1">IF(G28="Всього:",SUM($L$5:L27),$E$4)</f>
        <v>#VALUE!</v>
      </c>
      <c r="M28" s="25" t="e">
        <f ca="1">IF(G28="Всього:",SUM($M$5:M27),IF($E$5="UAH",J28+L28+K28,J28+K28))</f>
        <v>#VALUE!</v>
      </c>
      <c r="N28" s="27" t="str">
        <f ca="1">IF(G28="Всього:",SUM($N$4:N27),IF($E$5="UAH","",L28))</f>
        <v/>
      </c>
      <c r="O28" s="25" t="e">
        <f t="shared" ca="1" si="0"/>
        <v>#VALUE!</v>
      </c>
      <c r="P28" s="33">
        <f t="shared" ca="1" si="1"/>
        <v>46773</v>
      </c>
      <c r="Q28" s="8">
        <f t="shared" si="4"/>
        <v>146205.92934061316</v>
      </c>
      <c r="Y28" s="39">
        <v>0.63834061026573197</v>
      </c>
    </row>
    <row r="29" spans="1:36" s="8" customFormat="1" ht="13.2" x14ac:dyDescent="0.25">
      <c r="F29" s="34">
        <f t="shared" ca="1" si="2"/>
        <v>13.99</v>
      </c>
      <c r="G29" s="23">
        <f t="shared" ca="1" si="5"/>
        <v>46804</v>
      </c>
      <c r="H29" s="24">
        <f>IF(H28&gt;$E$8,"",H28+1)</f>
        <v>25</v>
      </c>
      <c r="I29" s="25" t="e">
        <f ca="1">IF($G29="Всього:",SUM($I$4:I28),MAX($C$32,K29))</f>
        <v>#VALUE!</v>
      </c>
      <c r="J29" s="25" t="e">
        <f ca="1">IF($G29="Всього:",SUM($J$4:J28),IF(I29-SUM(K29:L29)&lt;0,0,I29-SUM(K29:L29)))</f>
        <v>#VALUE!</v>
      </c>
      <c r="K29" s="25" t="e">
        <f ca="1">IF(G29="Всього:",SUM($K$5:K28),F29*O28/36000*(G29-G28))</f>
        <v>#VALUE!</v>
      </c>
      <c r="L29" s="25" t="e">
        <f ca="1">IF(G29="Всього:",SUM($L$5:L28),$E$4)</f>
        <v>#VALUE!</v>
      </c>
      <c r="M29" s="25" t="e">
        <f ca="1">IF(G29="Всього:",SUM($M$5:M28),IF($E$5="UAH",J29+L29+K29,J29+K29))</f>
        <v>#VALUE!</v>
      </c>
      <c r="N29" s="27" t="str">
        <f ca="1">IF(G29="Всього:",SUM($N$4:N28),IF($E$5="UAH","",L29))</f>
        <v/>
      </c>
      <c r="O29" s="25" t="e">
        <f t="shared" ca="1" si="0"/>
        <v>#VALUE!</v>
      </c>
      <c r="P29" s="33">
        <f t="shared" ca="1" si="1"/>
        <v>46804</v>
      </c>
      <c r="Q29" s="8" t="e">
        <f t="shared" ca="1" si="4"/>
        <v>#VALUE!</v>
      </c>
      <c r="R29" s="8">
        <f>IF(E8&gt;H28,$AA$7*0.9*0.9*5.48%,"")</f>
        <v>113189.40000000001</v>
      </c>
    </row>
    <row r="30" spans="1:36" s="8" customFormat="1" ht="13.2" x14ac:dyDescent="0.25">
      <c r="F30" s="34">
        <f t="shared" ca="1" si="2"/>
        <v>13.99</v>
      </c>
      <c r="G30" s="23">
        <f t="shared" ca="1" si="5"/>
        <v>46833</v>
      </c>
      <c r="H30" s="24">
        <f t="shared" si="3"/>
        <v>26</v>
      </c>
      <c r="I30" s="25" t="e">
        <f ca="1">IF($G30="Всього:",SUM($I$4:I29),MAX($C$32,K30))</f>
        <v>#VALUE!</v>
      </c>
      <c r="J30" s="25" t="e">
        <f ca="1">IF($G30="Всього:",SUM($J$4:J29),IF(I30-SUM(K30:L30)&lt;0,0,I30-SUM(K30:L30)))</f>
        <v>#VALUE!</v>
      </c>
      <c r="K30" s="25" t="e">
        <f ca="1">IF(G30="Всього:",SUM($K$5:K29),F30*O29/36000*(G30-G29))</f>
        <v>#VALUE!</v>
      </c>
      <c r="L30" s="25" t="e">
        <f ca="1">IF(G30="Всього:",SUM($L$5:L29),$E$4)</f>
        <v>#VALUE!</v>
      </c>
      <c r="M30" s="25" t="e">
        <f ca="1">IF(G30="Всього:",SUM($M$5:M29),IF($E$5="UAH",J30+L30+K30,J30+K30))</f>
        <v>#VALUE!</v>
      </c>
      <c r="N30" s="27" t="str">
        <f ca="1">IF(G30="Всього:",SUM($N$4:N29),IF($E$5="UAH","",L30))</f>
        <v/>
      </c>
      <c r="O30" s="25" t="e">
        <f t="shared" ca="1" si="0"/>
        <v>#VALUE!</v>
      </c>
      <c r="P30" s="33">
        <f t="shared" ca="1" si="1"/>
        <v>46833</v>
      </c>
      <c r="Q30" s="8" t="e">
        <f t="shared" ca="1" si="4"/>
        <v>#VALUE!</v>
      </c>
    </row>
    <row r="31" spans="1:36" s="8" customFormat="1" ht="13.2" x14ac:dyDescent="0.25">
      <c r="F31" s="34">
        <f t="shared" ca="1" si="2"/>
        <v>13.99</v>
      </c>
      <c r="G31" s="23">
        <f t="shared" ca="1" si="5"/>
        <v>46864</v>
      </c>
      <c r="H31" s="24">
        <f t="shared" si="3"/>
        <v>27</v>
      </c>
      <c r="I31" s="25" t="e">
        <f ca="1">IF($G31="Всього:",SUM($I$4:I30),MAX($C$32,K31))</f>
        <v>#VALUE!</v>
      </c>
      <c r="J31" s="25" t="e">
        <f ca="1">IF($G31="Всього:",SUM($J$4:J30),IF(I31-SUM(K31:L31)&lt;0,0,I31-SUM(K31:L31)))</f>
        <v>#VALUE!</v>
      </c>
      <c r="K31" s="25" t="e">
        <f ca="1">IF(G31="Всього:",SUM($K$5:K30),F31*O30/36000*(G31-G30))</f>
        <v>#VALUE!</v>
      </c>
      <c r="L31" s="25" t="e">
        <f ca="1">IF(G31="Всього:",SUM($L$5:L30),$E$4)</f>
        <v>#VALUE!</v>
      </c>
      <c r="M31" s="25" t="e">
        <f ca="1">IF(G31="Всього:",SUM($M$5:M30),IF($E$5="UAH",J31+L31+K31,J31+K31))</f>
        <v>#VALUE!</v>
      </c>
      <c r="N31" s="27" t="str">
        <f ca="1">IF(G31="Всього:",SUM($N$4:N30),IF($E$5="UAH","",L31))</f>
        <v/>
      </c>
      <c r="O31" s="25" t="e">
        <f t="shared" ca="1" si="0"/>
        <v>#VALUE!</v>
      </c>
      <c r="P31" s="33">
        <f t="shared" ca="1" si="1"/>
        <v>46864</v>
      </c>
      <c r="Q31" s="8" t="e">
        <f t="shared" ca="1" si="4"/>
        <v>#VALUE!</v>
      </c>
    </row>
    <row r="32" spans="1:36" s="8" customFormat="1" ht="13.2" x14ac:dyDescent="0.25">
      <c r="A32" s="12" t="s">
        <v>204</v>
      </c>
      <c r="B32" s="26">
        <v>33005.426630397633</v>
      </c>
      <c r="C32" s="12">
        <v>33005</v>
      </c>
      <c r="D32" s="8" t="s">
        <v>76</v>
      </c>
      <c r="F32" s="34">
        <f t="shared" ca="1" si="2"/>
        <v>13.99</v>
      </c>
      <c r="G32" s="23">
        <f t="shared" ca="1" si="5"/>
        <v>46894</v>
      </c>
      <c r="H32" s="24">
        <f t="shared" si="3"/>
        <v>28</v>
      </c>
      <c r="I32" s="25" t="e">
        <f ca="1">IF($G32="Всього:",SUM($I$4:I31),MAX($C$32,K32))</f>
        <v>#VALUE!</v>
      </c>
      <c r="J32" s="25" t="e">
        <f ca="1">IF($G32="Всього:",SUM($J$4:J31),IF(I32-SUM(K32:L32)&lt;0,0,I32-SUM(K32:L32)))</f>
        <v>#VALUE!</v>
      </c>
      <c r="K32" s="25" t="e">
        <f ca="1">IF(G32="Всього:",SUM($K$5:K31),F32*O31/36000*(G32-G31))</f>
        <v>#VALUE!</v>
      </c>
      <c r="L32" s="25" t="e">
        <f ca="1">IF(G32="Всього:",SUM($L$5:L31),$E$4)</f>
        <v>#VALUE!</v>
      </c>
      <c r="M32" s="25" t="e">
        <f ca="1">IF(G32="Всього:",SUM($M$5:M31),IF($E$5="UAH",J32+L32+K32,J32+K32))</f>
        <v>#VALUE!</v>
      </c>
      <c r="N32" s="27" t="str">
        <f ca="1">IF(G32="Всього:",SUM($N$4:N31),IF($E$5="UAH","",L32))</f>
        <v/>
      </c>
      <c r="O32" s="25" t="e">
        <f t="shared" ca="1" si="0"/>
        <v>#VALUE!</v>
      </c>
      <c r="P32" s="33">
        <f t="shared" ca="1" si="1"/>
        <v>46894</v>
      </c>
      <c r="Q32" s="8" t="e">
        <f t="shared" ca="1" si="4"/>
        <v>#VALUE!</v>
      </c>
    </row>
    <row r="33" spans="1:18" s="8" customFormat="1" ht="13.2" x14ac:dyDescent="0.25">
      <c r="A33" s="12" t="s">
        <v>205</v>
      </c>
      <c r="B33" s="26">
        <v>33005.427061178612</v>
      </c>
      <c r="C33" s="12">
        <v>33016.529340613146</v>
      </c>
      <c r="D33" s="8" t="s">
        <v>206</v>
      </c>
      <c r="F33" s="34">
        <f t="shared" ca="1" si="2"/>
        <v>13.99</v>
      </c>
      <c r="G33" s="23">
        <f t="shared" ca="1" si="5"/>
        <v>46925</v>
      </c>
      <c r="H33" s="24">
        <f t="shared" si="3"/>
        <v>29</v>
      </c>
      <c r="I33" s="25" t="e">
        <f ca="1">IF($G33="Всього:",SUM($I$4:I32),MAX($C$32,K33))</f>
        <v>#VALUE!</v>
      </c>
      <c r="J33" s="25" t="e">
        <f ca="1">IF($G33="Всього:",SUM($J$4:J32),IF(I33-SUM(K33:L33)&lt;0,0,I33-SUM(K33:L33)))</f>
        <v>#VALUE!</v>
      </c>
      <c r="K33" s="25" t="e">
        <f ca="1">IF(G33="Всього:",SUM($K$5:K32),F33*O32/36000*(G33-G32))</f>
        <v>#VALUE!</v>
      </c>
      <c r="L33" s="25" t="e">
        <f ca="1">IF(G33="Всього:",SUM($L$5:L32),$E$4)</f>
        <v>#VALUE!</v>
      </c>
      <c r="M33" s="25" t="e">
        <f ca="1">IF(G33="Всього:",SUM($M$5:M32),IF($E$5="UAH",J33+L33+K33,J33+K33))</f>
        <v>#VALUE!</v>
      </c>
      <c r="N33" s="27" t="str">
        <f ca="1">IF(G33="Всього:",SUM($N$4:N32),IF($E$5="UAH","",L33))</f>
        <v/>
      </c>
      <c r="O33" s="25" t="e">
        <f t="shared" ca="1" si="0"/>
        <v>#VALUE!</v>
      </c>
      <c r="P33" s="33">
        <f t="shared" ca="1" si="1"/>
        <v>46925</v>
      </c>
      <c r="Q33" s="8" t="e">
        <f t="shared" ca="1" si="4"/>
        <v>#VALUE!</v>
      </c>
    </row>
    <row r="34" spans="1:18" s="8" customFormat="1" ht="13.2" x14ac:dyDescent="0.25">
      <c r="A34" s="12" t="s">
        <v>207</v>
      </c>
      <c r="B34" s="12">
        <v>33016.529340613146</v>
      </c>
      <c r="C34" s="12"/>
      <c r="F34" s="34">
        <f t="shared" ca="1" si="2"/>
        <v>13.99</v>
      </c>
      <c r="G34" s="23">
        <f t="shared" ca="1" si="5"/>
        <v>46955</v>
      </c>
      <c r="H34" s="24">
        <f t="shared" si="3"/>
        <v>30</v>
      </c>
      <c r="I34" s="25" t="e">
        <f ca="1">IF($G34="Всього:",SUM($I$4:I33),MAX($C$32,K34))</f>
        <v>#VALUE!</v>
      </c>
      <c r="J34" s="25" t="e">
        <f ca="1">IF($G34="Всього:",SUM($J$4:J33),IF(I34-SUM(K34:L34)&lt;0,0,I34-SUM(K34:L34)))</f>
        <v>#VALUE!</v>
      </c>
      <c r="K34" s="25" t="e">
        <f ca="1">IF(G34="Всього:",SUM($K$5:K33),F34*O33/36000*(G34-G33))</f>
        <v>#VALUE!</v>
      </c>
      <c r="L34" s="25" t="e">
        <f ca="1">IF(G34="Всього:",SUM($L$5:L33),$E$4)</f>
        <v>#VALUE!</v>
      </c>
      <c r="M34" s="25" t="e">
        <f ca="1">IF(G34="Всього:",SUM($M$5:M33),IF($E$5="UAH",J34+L34+K34,J34+K34))</f>
        <v>#VALUE!</v>
      </c>
      <c r="N34" s="27" t="str">
        <f ca="1">IF(G34="Всього:",SUM($N$4:N33),IF($E$5="UAH","",L34))</f>
        <v/>
      </c>
      <c r="O34" s="25" t="e">
        <f t="shared" ca="1" si="0"/>
        <v>#VALUE!</v>
      </c>
      <c r="P34" s="33">
        <f t="shared" ca="1" si="1"/>
        <v>46955</v>
      </c>
      <c r="Q34" s="8" t="e">
        <f t="shared" ca="1" si="4"/>
        <v>#VALUE!</v>
      </c>
    </row>
    <row r="35" spans="1:18" s="8" customFormat="1" ht="13.2" x14ac:dyDescent="0.25">
      <c r="F35" s="34">
        <f t="shared" ca="1" si="2"/>
        <v>13.99</v>
      </c>
      <c r="G35" s="23">
        <f t="shared" ca="1" si="5"/>
        <v>46986</v>
      </c>
      <c r="H35" s="24">
        <f t="shared" si="3"/>
        <v>31</v>
      </c>
      <c r="I35" s="25" t="e">
        <f ca="1">IF($G35="Всього:",SUM($I$4:I34),MAX($C$32,K35))</f>
        <v>#VALUE!</v>
      </c>
      <c r="J35" s="25" t="e">
        <f ca="1">IF($G35="Всього:",SUM($J$4:J34),IF(I35-SUM(K35:L35)&lt;0,0,I35-SUM(K35:L35)))</f>
        <v>#VALUE!</v>
      </c>
      <c r="K35" s="25" t="e">
        <f ca="1">IF(G35="Всього:",SUM($K$5:K34),F35*O34/36000*(G35-G34))</f>
        <v>#VALUE!</v>
      </c>
      <c r="L35" s="25" t="e">
        <f ca="1">IF(G35="Всього:",SUM($L$5:L34),$E$4)</f>
        <v>#VALUE!</v>
      </c>
      <c r="M35" s="25" t="e">
        <f ca="1">IF(G35="Всього:",SUM($M$5:M34),IF($E$5="UAH",J35+L35+K35,J35+K35))</f>
        <v>#VALUE!</v>
      </c>
      <c r="N35" s="27" t="str">
        <f ca="1">IF(G35="Всього:",SUM($N$4:N34),IF($E$5="UAH","",L35))</f>
        <v/>
      </c>
      <c r="O35" s="25" t="e">
        <f t="shared" ca="1" si="0"/>
        <v>#VALUE!</v>
      </c>
      <c r="P35" s="33">
        <f t="shared" ca="1" si="1"/>
        <v>46986</v>
      </c>
      <c r="Q35" s="8" t="e">
        <f t="shared" ca="1" si="4"/>
        <v>#VALUE!</v>
      </c>
    </row>
    <row r="36" spans="1:18" s="8" customFormat="1" ht="13.2" x14ac:dyDescent="0.25">
      <c r="B36" s="29"/>
      <c r="F36" s="34">
        <f t="shared" ca="1" si="2"/>
        <v>13.99</v>
      </c>
      <c r="G36" s="23">
        <f t="shared" ca="1" si="5"/>
        <v>47017</v>
      </c>
      <c r="H36" s="24">
        <f t="shared" si="3"/>
        <v>32</v>
      </c>
      <c r="I36" s="25" t="e">
        <f ca="1">IF($G36="Всього:",SUM($I$4:I35),MAX($C$32,K36))</f>
        <v>#VALUE!</v>
      </c>
      <c r="J36" s="25" t="e">
        <f ca="1">IF($G36="Всього:",SUM($J$4:J35),IF(I36-SUM(K36:L36)&lt;0,0,I36-SUM(K36:L36)))</f>
        <v>#VALUE!</v>
      </c>
      <c r="K36" s="25" t="e">
        <f ca="1">IF(G36="Всього:",SUM($K$5:K35),F36*O35/36000*(G36-G35))</f>
        <v>#VALUE!</v>
      </c>
      <c r="L36" s="25" t="e">
        <f ca="1">IF(G36="Всього:",SUM($L$5:L35),$E$4)</f>
        <v>#VALUE!</v>
      </c>
      <c r="M36" s="25" t="e">
        <f ca="1">IF(G36="Всього:",SUM($M$5:M35),IF($E$5="UAH",J36+L36+K36,J36+K36))</f>
        <v>#VALUE!</v>
      </c>
      <c r="N36" s="27" t="str">
        <f ca="1">IF(G36="Всього:",SUM($N$4:N35),IF($E$5="UAH","",L36))</f>
        <v/>
      </c>
      <c r="O36" s="25" t="e">
        <f t="shared" ca="1" si="0"/>
        <v>#VALUE!</v>
      </c>
      <c r="P36" s="33">
        <f t="shared" ca="1" si="1"/>
        <v>47017</v>
      </c>
      <c r="Q36" s="8" t="e">
        <f t="shared" ca="1" si="4"/>
        <v>#VALUE!</v>
      </c>
    </row>
    <row r="37" spans="1:18" s="8" customFormat="1" ht="13.2" x14ac:dyDescent="0.25">
      <c r="F37" s="34">
        <f t="shared" ca="1" si="2"/>
        <v>13.99</v>
      </c>
      <c r="G37" s="23">
        <f t="shared" ca="1" si="5"/>
        <v>47047</v>
      </c>
      <c r="H37" s="24">
        <f t="shared" si="3"/>
        <v>33</v>
      </c>
      <c r="I37" s="25" t="e">
        <f ca="1">IF($G37="Всього:",SUM($I$4:I36),MAX($C$32,K37))</f>
        <v>#VALUE!</v>
      </c>
      <c r="J37" s="25" t="e">
        <f ca="1">IF($G37="Всього:",SUM($J$4:J36),IF(I37-SUM(K37:L37)&lt;0,0,I37-SUM(K37:L37)))</f>
        <v>#VALUE!</v>
      </c>
      <c r="K37" s="25" t="e">
        <f ca="1">IF(G37="Всього:",SUM($K$5:K36),F37*O36/36000*(G37-G36))</f>
        <v>#VALUE!</v>
      </c>
      <c r="L37" s="25" t="e">
        <f ca="1">IF(G37="Всього:",SUM($L$5:L36),$E$4)</f>
        <v>#VALUE!</v>
      </c>
      <c r="M37" s="25" t="e">
        <f ca="1">IF(G37="Всього:",SUM($M$5:M36),IF($E$5="UAH",J37+L37+K37,J37+K37))</f>
        <v>#VALUE!</v>
      </c>
      <c r="N37" s="27" t="str">
        <f ca="1">IF(G37="Всього:",SUM($N$4:N36),IF($E$5="UAH","",L37))</f>
        <v/>
      </c>
      <c r="O37" s="25" t="e">
        <f t="shared" ca="1" si="0"/>
        <v>#VALUE!</v>
      </c>
      <c r="P37" s="33">
        <f t="shared" ca="1" si="1"/>
        <v>47047</v>
      </c>
      <c r="Q37" s="8" t="e">
        <f t="shared" ca="1" si="4"/>
        <v>#VALUE!</v>
      </c>
    </row>
    <row r="38" spans="1:18" s="8" customFormat="1" ht="13.2" x14ac:dyDescent="0.25">
      <c r="F38" s="34">
        <f t="shared" ca="1" si="2"/>
        <v>13.99</v>
      </c>
      <c r="G38" s="23">
        <f t="shared" ca="1" si="5"/>
        <v>47078</v>
      </c>
      <c r="H38" s="24">
        <f t="shared" si="3"/>
        <v>34</v>
      </c>
      <c r="I38" s="25" t="e">
        <f ca="1">IF($G38="Всього:",SUM($I$4:I37),MAX($C$32,K38))</f>
        <v>#VALUE!</v>
      </c>
      <c r="J38" s="25" t="e">
        <f ca="1">IF($G38="Всього:",SUM($J$4:J37),IF(I38-SUM(K38:L38)&lt;0,0,I38-SUM(K38:L38)))</f>
        <v>#VALUE!</v>
      </c>
      <c r="K38" s="25" t="e">
        <f ca="1">IF(G38="Всього:",SUM($K$5:K37),F38*O37/36000*(G38-G37))</f>
        <v>#VALUE!</v>
      </c>
      <c r="L38" s="25" t="e">
        <f ca="1">IF(G38="Всього:",SUM($L$5:L37),$E$4)</f>
        <v>#VALUE!</v>
      </c>
      <c r="M38" s="25" t="e">
        <f ca="1">IF(G38="Всього:",SUM($M$5:M37),IF($E$5="UAH",J38+L38+K38,J38+K38))</f>
        <v>#VALUE!</v>
      </c>
      <c r="N38" s="27" t="str">
        <f ca="1">IF(G38="Всього:",SUM($N$4:N37),IF($E$5="UAH","",L38))</f>
        <v/>
      </c>
      <c r="O38" s="25" t="e">
        <f t="shared" ca="1" si="0"/>
        <v>#VALUE!</v>
      </c>
      <c r="P38" s="33">
        <f t="shared" ca="1" si="1"/>
        <v>47078</v>
      </c>
      <c r="Q38" s="8" t="e">
        <f t="shared" ca="1" si="4"/>
        <v>#VALUE!</v>
      </c>
    </row>
    <row r="39" spans="1:18" s="8" customFormat="1" ht="13.2" x14ac:dyDescent="0.25">
      <c r="F39" s="34">
        <f t="shared" ca="1" si="2"/>
        <v>13.99</v>
      </c>
      <c r="G39" s="23">
        <f t="shared" ca="1" si="5"/>
        <v>47108</v>
      </c>
      <c r="H39" s="24">
        <f t="shared" si="3"/>
        <v>35</v>
      </c>
      <c r="I39" s="25" t="e">
        <f ca="1">IF($G39="Всього:",SUM($I$4:I38),MAX($C$32,K39))</f>
        <v>#VALUE!</v>
      </c>
      <c r="J39" s="25" t="e">
        <f ca="1">IF($G39="Всього:",SUM($J$4:J38),IF(I39-SUM(K39:L39)&lt;0,0,I39-SUM(K39:L39)))</f>
        <v>#VALUE!</v>
      </c>
      <c r="K39" s="25" t="e">
        <f ca="1">IF(G39="Всього:",SUM($K$5:K38),F39*O38/36000*(G39-G38))</f>
        <v>#VALUE!</v>
      </c>
      <c r="L39" s="25" t="e">
        <f ca="1">IF(G39="Всього:",SUM($L$5:L38),$E$4)</f>
        <v>#VALUE!</v>
      </c>
      <c r="M39" s="25" t="e">
        <f ca="1">IF(G39="Всього:",SUM($M$5:M38),IF($E$5="UAH",J39+L39+K39,J39+K39))</f>
        <v>#VALUE!</v>
      </c>
      <c r="N39" s="27" t="str">
        <f ca="1">IF(G39="Всього:",SUM($N$4:N38),IF($E$5="UAH","",L39))</f>
        <v/>
      </c>
      <c r="O39" s="25" t="e">
        <f t="shared" ca="1" si="0"/>
        <v>#VALUE!</v>
      </c>
      <c r="P39" s="33">
        <f t="shared" ca="1" si="1"/>
        <v>47108</v>
      </c>
      <c r="Q39" s="8" t="e">
        <f t="shared" ca="1" si="4"/>
        <v>#VALUE!</v>
      </c>
    </row>
    <row r="40" spans="1:18" s="8" customFormat="1" ht="13.2" x14ac:dyDescent="0.25">
      <c r="F40" s="34">
        <f t="shared" ca="1" si="2"/>
        <v>13.99</v>
      </c>
      <c r="G40" s="23">
        <f t="shared" ca="1" si="5"/>
        <v>47139</v>
      </c>
      <c r="H40" s="24">
        <f t="shared" si="3"/>
        <v>36</v>
      </c>
      <c r="I40" s="25" t="e">
        <f ca="1">IF($G40="Всього:",SUM($I$4:I39),MAX($C$32,K40))</f>
        <v>#VALUE!</v>
      </c>
      <c r="J40" s="25" t="e">
        <f ca="1">IF($G40="Всього:",SUM($J$4:J39),IF(I40-SUM(K40:L40)&lt;0,0,I40-SUM(K40:L40)))</f>
        <v>#VALUE!</v>
      </c>
      <c r="K40" s="25" t="e">
        <f ca="1">IF(G40="Всього:",SUM($K$5:K39),F40*O39/36000*(G40-G39))</f>
        <v>#VALUE!</v>
      </c>
      <c r="L40" s="25" t="e">
        <f ca="1">IF(G40="Всього:",SUM($L$5:L39),$E$4)</f>
        <v>#VALUE!</v>
      </c>
      <c r="M40" s="25" t="e">
        <f ca="1">IF(G40="Всього:",SUM($M$5:M39),IF($E$5="UAH",J40+L40+K40,J40+K40))</f>
        <v>#VALUE!</v>
      </c>
      <c r="N40" s="27" t="str">
        <f ca="1">IF(G40="Всього:",SUM($N$4:N39),IF($E$5="UAH","",L40))</f>
        <v/>
      </c>
      <c r="O40" s="25" t="e">
        <f t="shared" ca="1" si="0"/>
        <v>#VALUE!</v>
      </c>
      <c r="P40" s="33">
        <f t="shared" ca="1" si="1"/>
        <v>47139</v>
      </c>
      <c r="Q40" s="8">
        <f t="shared" ca="1" si="4"/>
        <v>0</v>
      </c>
    </row>
    <row r="41" spans="1:18" s="8" customFormat="1" ht="13.2" x14ac:dyDescent="0.25">
      <c r="F41" s="34">
        <f t="shared" ca="1" si="2"/>
        <v>13.99</v>
      </c>
      <c r="G41" s="23">
        <f t="shared" ca="1" si="5"/>
        <v>47170</v>
      </c>
      <c r="H41" s="24">
        <f t="shared" si="3"/>
        <v>37</v>
      </c>
      <c r="I41" s="25" t="e">
        <f ca="1">IF($G41="Всього:",SUM($I$4:I40),MAX($C$32,K41))</f>
        <v>#VALUE!</v>
      </c>
      <c r="J41" s="25" t="e">
        <f ca="1">IF($G41="Всього:",SUM($J$4:J40),IF(I41-SUM(K41:L41)&lt;0,0,I41-SUM(K41:L41)))</f>
        <v>#VALUE!</v>
      </c>
      <c r="K41" s="25" t="e">
        <f ca="1">IF(G41="Всього:",SUM($K$5:K40),F41*O40/36000*(G41-G40))</f>
        <v>#VALUE!</v>
      </c>
      <c r="L41" s="25" t="e">
        <f ca="1">IF(G41="Всього:",SUM($L$5:L40),$E$4)</f>
        <v>#VALUE!</v>
      </c>
      <c r="M41" s="25" t="e">
        <f ca="1">IF(G41="Всього:",SUM($M$5:M40),IF($E$5="UAH",J41+L41+K41,J41+K41))</f>
        <v>#VALUE!</v>
      </c>
      <c r="N41" s="27" t="str">
        <f ca="1">IF(G41="Всього:",SUM($N$4:N40),IF($E$5="UAH","",L41))</f>
        <v/>
      </c>
      <c r="O41" s="25" t="e">
        <f t="shared" ca="1" si="0"/>
        <v>#VALUE!</v>
      </c>
      <c r="P41" s="33">
        <f t="shared" ca="1" si="1"/>
        <v>47170</v>
      </c>
      <c r="Q41" s="8" t="e">
        <f t="shared" ca="1" si="4"/>
        <v>#VALUE!</v>
      </c>
      <c r="R41" s="8">
        <f>IF(E8&gt;H41,$AA$7*0.9*0.9*0.9*5.48%,"")</f>
        <v>101870.46</v>
      </c>
    </row>
    <row r="42" spans="1:18" s="8" customFormat="1" ht="13.2" x14ac:dyDescent="0.25">
      <c r="F42" s="34">
        <f t="shared" ca="1" si="2"/>
        <v>13.99</v>
      </c>
      <c r="G42" s="23">
        <f t="shared" ca="1" si="5"/>
        <v>47198</v>
      </c>
      <c r="H42" s="24">
        <f t="shared" si="3"/>
        <v>38</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str">
        <f ca="1">IF(G42="Всього:",SUM($N$4:N41),IF($E$5="UAH","",L42))</f>
        <v/>
      </c>
      <c r="O42" s="25" t="e">
        <f t="shared" ca="1" si="0"/>
        <v>#VALUE!</v>
      </c>
      <c r="P42" s="33">
        <f t="shared" ca="1" si="1"/>
        <v>47198</v>
      </c>
      <c r="Q42" s="8" t="e">
        <f t="shared" ca="1" si="4"/>
        <v>#VALUE!</v>
      </c>
    </row>
    <row r="43" spans="1:18" s="8" customFormat="1" ht="13.2" x14ac:dyDescent="0.25">
      <c r="F43" s="34">
        <f t="shared" ca="1" si="2"/>
        <v>13.99</v>
      </c>
      <c r="G43" s="23">
        <f t="shared" ca="1" si="5"/>
        <v>47229</v>
      </c>
      <c r="H43" s="24">
        <f t="shared" si="3"/>
        <v>39</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str">
        <f ca="1">IF(G43="Всього:",SUM($N$4:N42),IF($E$5="UAH","",L43))</f>
        <v/>
      </c>
      <c r="O43" s="25" t="e">
        <f t="shared" ca="1" si="0"/>
        <v>#VALUE!</v>
      </c>
      <c r="P43" s="33">
        <f t="shared" ca="1" si="1"/>
        <v>47229</v>
      </c>
      <c r="Q43" s="8" t="e">
        <f t="shared" ca="1" si="4"/>
        <v>#VALUE!</v>
      </c>
    </row>
    <row r="44" spans="1:18" s="8" customFormat="1" ht="13.2" x14ac:dyDescent="0.25">
      <c r="F44" s="34">
        <f t="shared" ca="1" si="2"/>
        <v>13.99</v>
      </c>
      <c r="G44" s="23">
        <f t="shared" ca="1" si="5"/>
        <v>47259</v>
      </c>
      <c r="H44" s="24">
        <f t="shared" si="3"/>
        <v>40</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str">
        <f ca="1">IF(G44="Всього:",SUM($N$4:N43),IF($E$5="UAH","",L44))</f>
        <v/>
      </c>
      <c r="O44" s="25" t="e">
        <f t="shared" ca="1" si="0"/>
        <v>#VALUE!</v>
      </c>
      <c r="P44" s="33">
        <f t="shared" ca="1" si="1"/>
        <v>47259</v>
      </c>
      <c r="Q44" s="8" t="e">
        <f t="shared" ca="1" si="4"/>
        <v>#VALUE!</v>
      </c>
    </row>
    <row r="45" spans="1:18" s="8" customFormat="1" ht="13.2" x14ac:dyDescent="0.25">
      <c r="F45" s="34">
        <f t="shared" ca="1" si="2"/>
        <v>13.99</v>
      </c>
      <c r="G45" s="23">
        <f t="shared" ca="1" si="5"/>
        <v>47290</v>
      </c>
      <c r="H45" s="24">
        <f t="shared" si="3"/>
        <v>41</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str">
        <f ca="1">IF(G45="Всього:",SUM($N$4:N44),IF($E$5="UAH","",L45))</f>
        <v/>
      </c>
      <c r="O45" s="25" t="e">
        <f t="shared" ca="1" si="0"/>
        <v>#VALUE!</v>
      </c>
      <c r="P45" s="33">
        <f t="shared" ca="1" si="1"/>
        <v>47290</v>
      </c>
      <c r="Q45" s="8" t="e">
        <f t="shared" ca="1" si="4"/>
        <v>#VALUE!</v>
      </c>
    </row>
    <row r="46" spans="1:18" s="8" customFormat="1" ht="13.2" x14ac:dyDescent="0.25">
      <c r="F46" s="34">
        <f t="shared" ca="1" si="2"/>
        <v>13.99</v>
      </c>
      <c r="G46" s="23">
        <f t="shared" ca="1" si="5"/>
        <v>47320</v>
      </c>
      <c r="H46" s="24">
        <f t="shared" si="3"/>
        <v>42</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str">
        <f ca="1">IF(G46="Всього:",SUM($N$4:N45),IF($E$5="UAH","",L46))</f>
        <v/>
      </c>
      <c r="O46" s="25" t="e">
        <f t="shared" ca="1" si="0"/>
        <v>#VALUE!</v>
      </c>
      <c r="P46" s="33">
        <f t="shared" ca="1" si="1"/>
        <v>47320</v>
      </c>
      <c r="Q46" s="8" t="e">
        <f t="shared" ca="1" si="4"/>
        <v>#VALUE!</v>
      </c>
    </row>
    <row r="47" spans="1:18" s="8" customFormat="1" ht="13.2" x14ac:dyDescent="0.25">
      <c r="F47" s="34">
        <f t="shared" ca="1" si="2"/>
        <v>13.99</v>
      </c>
      <c r="G47" s="23">
        <f t="shared" ca="1" si="5"/>
        <v>47351</v>
      </c>
      <c r="H47" s="24">
        <f t="shared" si="3"/>
        <v>43</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str">
        <f ca="1">IF(G47="Всього:",SUM($N$4:N46),IF($E$5="UAH","",L47))</f>
        <v/>
      </c>
      <c r="O47" s="25" t="e">
        <f t="shared" ca="1" si="0"/>
        <v>#VALUE!</v>
      </c>
      <c r="P47" s="33">
        <f t="shared" ca="1" si="1"/>
        <v>47351</v>
      </c>
      <c r="Q47" s="8" t="e">
        <f t="shared" ca="1" si="4"/>
        <v>#VALUE!</v>
      </c>
    </row>
    <row r="48" spans="1:18" s="8" customFormat="1" ht="13.2" x14ac:dyDescent="0.25">
      <c r="F48" s="34">
        <f t="shared" ca="1" si="2"/>
        <v>13.99</v>
      </c>
      <c r="G48" s="23">
        <f t="shared" ca="1" si="5"/>
        <v>47382</v>
      </c>
      <c r="H48" s="24">
        <f t="shared" si="3"/>
        <v>44</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str">
        <f ca="1">IF(G48="Всього:",SUM($N$4:N47),IF($E$5="UAH","",L48))</f>
        <v/>
      </c>
      <c r="O48" s="25" t="e">
        <f t="shared" ca="1" si="0"/>
        <v>#VALUE!</v>
      </c>
      <c r="P48" s="33">
        <f t="shared" ca="1" si="1"/>
        <v>47382</v>
      </c>
      <c r="Q48" s="8" t="e">
        <f t="shared" ca="1" si="4"/>
        <v>#VALUE!</v>
      </c>
    </row>
    <row r="49" spans="6:18" s="8" customFormat="1" ht="13.2" x14ac:dyDescent="0.25">
      <c r="F49" s="34">
        <f t="shared" ca="1" si="2"/>
        <v>13.99</v>
      </c>
      <c r="G49" s="23">
        <f t="shared" ca="1" si="5"/>
        <v>47412</v>
      </c>
      <c r="H49" s="24">
        <f t="shared" si="3"/>
        <v>45</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str">
        <f ca="1">IF(G49="Всього:",SUM($N$4:N48),IF($E$5="UAH","",L49))</f>
        <v/>
      </c>
      <c r="O49" s="25" t="e">
        <f t="shared" ca="1" si="0"/>
        <v>#VALUE!</v>
      </c>
      <c r="P49" s="33">
        <f t="shared" ca="1" si="1"/>
        <v>47412</v>
      </c>
      <c r="Q49" s="8" t="e">
        <f t="shared" ca="1" si="4"/>
        <v>#VALUE!</v>
      </c>
    </row>
    <row r="50" spans="6:18" s="8" customFormat="1" ht="13.2" x14ac:dyDescent="0.25">
      <c r="F50" s="34">
        <f t="shared" ca="1" si="2"/>
        <v>13.99</v>
      </c>
      <c r="G50" s="23">
        <f t="shared" ca="1" si="5"/>
        <v>47443</v>
      </c>
      <c r="H50" s="24">
        <f t="shared" si="3"/>
        <v>46</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str">
        <f ca="1">IF(G50="Всього:",SUM($N$4:N49),IF($E$5="UAH","",L50))</f>
        <v/>
      </c>
      <c r="O50" s="25" t="e">
        <f t="shared" ca="1" si="0"/>
        <v>#VALUE!</v>
      </c>
      <c r="P50" s="33">
        <f t="shared" ca="1" si="1"/>
        <v>47443</v>
      </c>
      <c r="Q50" s="8" t="e">
        <f t="shared" ca="1" si="4"/>
        <v>#VALUE!</v>
      </c>
    </row>
    <row r="51" spans="6:18" s="8" customFormat="1" ht="13.2" x14ac:dyDescent="0.25">
      <c r="F51" s="34">
        <f t="shared" ca="1" si="2"/>
        <v>13.99</v>
      </c>
      <c r="G51" s="23">
        <f t="shared" ca="1" si="5"/>
        <v>47473</v>
      </c>
      <c r="H51" s="24">
        <f t="shared" si="3"/>
        <v>47</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str">
        <f ca="1">IF(G51="Всього:",SUM($N$4:N50),IF($E$5="UAH","",L51))</f>
        <v/>
      </c>
      <c r="O51" s="25" t="e">
        <f t="shared" ca="1" si="0"/>
        <v>#VALUE!</v>
      </c>
      <c r="P51" s="33">
        <f t="shared" ca="1" si="1"/>
        <v>47473</v>
      </c>
      <c r="Q51" s="8" t="e">
        <f t="shared" ca="1" si="4"/>
        <v>#VALUE!</v>
      </c>
    </row>
    <row r="52" spans="6:18" s="8" customFormat="1" ht="13.2" x14ac:dyDescent="0.25">
      <c r="F52" s="34">
        <f t="shared" ca="1" si="2"/>
        <v>13.99</v>
      </c>
      <c r="G52" s="23">
        <f t="shared" ca="1" si="5"/>
        <v>47504</v>
      </c>
      <c r="H52" s="24">
        <f t="shared" si="3"/>
        <v>48</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str">
        <f ca="1">IF(G52="Всього:",SUM($N$4:N51),IF($E$5="UAH","",L52))</f>
        <v/>
      </c>
      <c r="O52" s="25" t="e">
        <f t="shared" ca="1" si="0"/>
        <v>#VALUE!</v>
      </c>
      <c r="P52" s="33">
        <f t="shared" ca="1" si="1"/>
        <v>47504</v>
      </c>
      <c r="Q52" s="8">
        <f t="shared" ca="1" si="4"/>
        <v>0</v>
      </c>
    </row>
    <row r="53" spans="6:18" s="8" customFormat="1" ht="13.2" x14ac:dyDescent="0.25">
      <c r="F53" s="34">
        <f t="shared" ca="1" si="2"/>
        <v>13.99</v>
      </c>
      <c r="G53" s="23">
        <f t="shared" ca="1" si="5"/>
        <v>47535</v>
      </c>
      <c r="H53" s="24">
        <f t="shared" si="3"/>
        <v>49</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str">
        <f ca="1">IF(G53="Всього:",SUM($N$4:N52),IF($E$5="UAH","",L53))</f>
        <v/>
      </c>
      <c r="O53" s="25" t="e">
        <f t="shared" ca="1" si="0"/>
        <v>#VALUE!</v>
      </c>
      <c r="P53" s="33">
        <f t="shared" ca="1" si="1"/>
        <v>47535</v>
      </c>
      <c r="Q53" s="8" t="e">
        <f t="shared" ca="1" si="4"/>
        <v>#VALUE!</v>
      </c>
      <c r="R53" s="8">
        <f>IF(E8&gt;H53,$AA$7*0.9*0.9*0.9*0.9*5.48%,"")</f>
        <v>91683.414000000004</v>
      </c>
    </row>
    <row r="54" spans="6:18" s="8" customFormat="1" ht="13.2" x14ac:dyDescent="0.25">
      <c r="F54" s="34">
        <f t="shared" ca="1" si="2"/>
        <v>13.99</v>
      </c>
      <c r="G54" s="23">
        <f t="shared" ca="1" si="5"/>
        <v>47563</v>
      </c>
      <c r="H54" s="24">
        <f t="shared" si="3"/>
        <v>50</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str">
        <f ca="1">IF(G54="Всього:",SUM($N$4:N53),IF($E$5="UAH","",L54))</f>
        <v/>
      </c>
      <c r="O54" s="25" t="e">
        <f t="shared" ca="1" si="0"/>
        <v>#VALUE!</v>
      </c>
      <c r="P54" s="33">
        <f t="shared" ca="1" si="1"/>
        <v>47563</v>
      </c>
      <c r="Q54" s="8" t="e">
        <f t="shared" ca="1" si="4"/>
        <v>#VALUE!</v>
      </c>
    </row>
    <row r="55" spans="6:18" s="8" customFormat="1" ht="13.2" x14ac:dyDescent="0.25">
      <c r="F55" s="34">
        <f t="shared" ca="1" si="2"/>
        <v>13.99</v>
      </c>
      <c r="G55" s="23">
        <f t="shared" ca="1" si="5"/>
        <v>47594</v>
      </c>
      <c r="H55" s="24">
        <f t="shared" si="3"/>
        <v>51</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str">
        <f ca="1">IF(G55="Всього:",SUM($N$4:N54),IF($E$5="UAH","",L55))</f>
        <v/>
      </c>
      <c r="O55" s="25" t="e">
        <f t="shared" ca="1" si="0"/>
        <v>#VALUE!</v>
      </c>
      <c r="P55" s="33">
        <f t="shared" ca="1" si="1"/>
        <v>47594</v>
      </c>
      <c r="Q55" s="8" t="e">
        <f t="shared" ca="1" si="4"/>
        <v>#VALUE!</v>
      </c>
    </row>
    <row r="56" spans="6:18" s="8" customFormat="1" ht="13.2" x14ac:dyDescent="0.25">
      <c r="F56" s="34">
        <f t="shared" ca="1" si="2"/>
        <v>13.99</v>
      </c>
      <c r="G56" s="23">
        <f t="shared" ca="1" si="5"/>
        <v>47624</v>
      </c>
      <c r="H56" s="24">
        <f t="shared" si="3"/>
        <v>52</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str">
        <f ca="1">IF(G56="Всього:",SUM($N$4:N55),IF($E$5="UAH","",L56))</f>
        <v/>
      </c>
      <c r="O56" s="25" t="e">
        <f t="shared" ca="1" si="0"/>
        <v>#VALUE!</v>
      </c>
      <c r="P56" s="33">
        <f t="shared" ca="1" si="1"/>
        <v>47624</v>
      </c>
      <c r="Q56" s="8" t="e">
        <f t="shared" ca="1" si="4"/>
        <v>#VALUE!</v>
      </c>
    </row>
    <row r="57" spans="6:18" s="8" customFormat="1" ht="13.2" x14ac:dyDescent="0.25">
      <c r="F57" s="34">
        <f t="shared" ca="1" si="2"/>
        <v>13.99</v>
      </c>
      <c r="G57" s="23">
        <f t="shared" ca="1" si="5"/>
        <v>47655</v>
      </c>
      <c r="H57" s="24">
        <f t="shared" si="3"/>
        <v>53</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str">
        <f ca="1">IF(G57="Всього:",SUM($N$4:N56),IF($E$5="UAH","",L57))</f>
        <v/>
      </c>
      <c r="O57" s="25" t="e">
        <f t="shared" ca="1" si="0"/>
        <v>#VALUE!</v>
      </c>
      <c r="P57" s="33">
        <f t="shared" ca="1" si="1"/>
        <v>47655</v>
      </c>
      <c r="Q57" s="8" t="e">
        <f t="shared" ca="1" si="4"/>
        <v>#VALUE!</v>
      </c>
    </row>
    <row r="58" spans="6:18" s="8" customFormat="1" ht="13.2" x14ac:dyDescent="0.25">
      <c r="F58" s="34">
        <f t="shared" ca="1" si="2"/>
        <v>13.99</v>
      </c>
      <c r="G58" s="23">
        <f t="shared" ca="1" si="5"/>
        <v>47685</v>
      </c>
      <c r="H58" s="24">
        <f t="shared" si="3"/>
        <v>54</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str">
        <f ca="1">IF(G58="Всього:",SUM($N$4:N57),IF($E$5="UAH","",L58))</f>
        <v/>
      </c>
      <c r="O58" s="25" t="e">
        <f t="shared" ca="1" si="0"/>
        <v>#VALUE!</v>
      </c>
      <c r="P58" s="33">
        <f t="shared" ca="1" si="1"/>
        <v>47685</v>
      </c>
      <c r="Q58" s="8" t="e">
        <f t="shared" ca="1" si="4"/>
        <v>#VALUE!</v>
      </c>
    </row>
    <row r="59" spans="6:18" s="8" customFormat="1" ht="13.2" x14ac:dyDescent="0.25">
      <c r="F59" s="34">
        <f t="shared" ca="1" si="2"/>
        <v>13.99</v>
      </c>
      <c r="G59" s="23">
        <f t="shared" ca="1" si="5"/>
        <v>47716</v>
      </c>
      <c r="H59" s="24">
        <f t="shared" si="3"/>
        <v>55</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str">
        <f ca="1">IF(G59="Всього:",SUM($N$4:N58),IF($E$5="UAH","",L59))</f>
        <v/>
      </c>
      <c r="O59" s="25" t="e">
        <f t="shared" ca="1" si="0"/>
        <v>#VALUE!</v>
      </c>
      <c r="P59" s="33">
        <f t="shared" ca="1" si="1"/>
        <v>47716</v>
      </c>
      <c r="Q59" s="8" t="e">
        <f t="shared" ca="1" si="4"/>
        <v>#VALUE!</v>
      </c>
    </row>
    <row r="60" spans="6:18" s="8" customFormat="1" ht="13.2" x14ac:dyDescent="0.25">
      <c r="F60" s="34">
        <f t="shared" ca="1" si="2"/>
        <v>13.99</v>
      </c>
      <c r="G60" s="23">
        <f t="shared" ca="1" si="5"/>
        <v>47747</v>
      </c>
      <c r="H60" s="24">
        <f t="shared" si="3"/>
        <v>56</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str">
        <f ca="1">IF(G60="Всього:",SUM($N$4:N59),IF($E$5="UAH","",L60))</f>
        <v/>
      </c>
      <c r="O60" s="25" t="e">
        <f t="shared" ca="1" si="0"/>
        <v>#VALUE!</v>
      </c>
      <c r="P60" s="33">
        <f t="shared" ca="1" si="1"/>
        <v>47747</v>
      </c>
      <c r="Q60" s="8" t="e">
        <f t="shared" ca="1" si="4"/>
        <v>#VALUE!</v>
      </c>
    </row>
    <row r="61" spans="6:18" s="8" customFormat="1" ht="13.2" x14ac:dyDescent="0.25">
      <c r="F61" s="34">
        <f t="shared" ca="1" si="2"/>
        <v>13.99</v>
      </c>
      <c r="G61" s="23">
        <f t="shared" ca="1" si="5"/>
        <v>47777</v>
      </c>
      <c r="H61" s="24">
        <f t="shared" si="3"/>
        <v>57</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str">
        <f ca="1">IF(G61="Всього:",SUM($N$4:N60),IF($E$5="UAH","",L61))</f>
        <v/>
      </c>
      <c r="O61" s="25" t="e">
        <f t="shared" ca="1" si="0"/>
        <v>#VALUE!</v>
      </c>
      <c r="P61" s="33">
        <f t="shared" ca="1" si="1"/>
        <v>47777</v>
      </c>
      <c r="Q61" s="8" t="e">
        <f t="shared" ca="1" si="4"/>
        <v>#VALUE!</v>
      </c>
    </row>
    <row r="62" spans="6:18" s="8" customFormat="1" ht="13.2" x14ac:dyDescent="0.25">
      <c r="F62" s="34">
        <f t="shared" ca="1" si="2"/>
        <v>13.99</v>
      </c>
      <c r="G62" s="23">
        <f t="shared" ca="1" si="5"/>
        <v>47808</v>
      </c>
      <c r="H62" s="24">
        <f t="shared" si="3"/>
        <v>58</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str">
        <f ca="1">IF(G62="Всього:",SUM($N$4:N61),IF($E$5="UAH","",L62))</f>
        <v/>
      </c>
      <c r="O62" s="25" t="e">
        <f t="shared" ca="1" si="0"/>
        <v>#VALUE!</v>
      </c>
      <c r="P62" s="33">
        <f t="shared" ca="1" si="1"/>
        <v>47808</v>
      </c>
      <c r="Q62" s="8" t="e">
        <f t="shared" ca="1" si="4"/>
        <v>#VALUE!</v>
      </c>
    </row>
    <row r="63" spans="6:18" s="8" customFormat="1" ht="13.2" x14ac:dyDescent="0.25">
      <c r="F63" s="34">
        <f t="shared" ca="1" si="2"/>
        <v>13.99</v>
      </c>
      <c r="G63" s="23">
        <f t="shared" ca="1" si="5"/>
        <v>47838</v>
      </c>
      <c r="H63" s="24">
        <f t="shared" si="3"/>
        <v>59</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str">
        <f ca="1">IF(G63="Всього:",SUM($N$4:N62),IF($E$5="UAH","",L63))</f>
        <v/>
      </c>
      <c r="O63" s="25" t="e">
        <f t="shared" ca="1" si="0"/>
        <v>#VALUE!</v>
      </c>
      <c r="P63" s="33">
        <f t="shared" ca="1" si="1"/>
        <v>47838</v>
      </c>
      <c r="Q63" s="8" t="e">
        <f t="shared" ca="1" si="4"/>
        <v>#VALUE!</v>
      </c>
    </row>
    <row r="64" spans="6:18" s="8" customFormat="1" ht="13.2" x14ac:dyDescent="0.25">
      <c r="F64" s="34">
        <f t="shared" ca="1" si="2"/>
        <v>13.99</v>
      </c>
      <c r="G64" s="23">
        <f t="shared" ca="1" si="5"/>
        <v>47868</v>
      </c>
      <c r="H64" s="24">
        <f t="shared" si="3"/>
        <v>60</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str">
        <f ca="1">IF(G64="Всього:",SUM($N$4:N63),IF($E$5="UAH","",L64))</f>
        <v/>
      </c>
      <c r="O64" s="25" t="e">
        <f t="shared" ca="1" si="0"/>
        <v>#VALUE!</v>
      </c>
      <c r="P64" s="33">
        <f t="shared" ca="1" si="1"/>
        <v>47868</v>
      </c>
      <c r="Q64" s="8" t="e">
        <f t="shared" ca="1" si="4"/>
        <v>#VALUE!</v>
      </c>
    </row>
    <row r="65" spans="6:18" s="8" customFormat="1" ht="13.2" x14ac:dyDescent="0.25">
      <c r="F65" s="34" t="str">
        <f t="shared" si="2"/>
        <v/>
      </c>
      <c r="G65" s="23" t="str">
        <f t="shared" si="5"/>
        <v>Всього:</v>
      </c>
      <c r="H65" s="24">
        <f t="shared" si="3"/>
        <v>61</v>
      </c>
      <c r="I65" s="25" t="e">
        <f ca="1">IF($G65="Всього:",SUM($I$4:I64),MAX($C$32,K65))</f>
        <v>#VALUE!</v>
      </c>
      <c r="J65" s="25" t="e">
        <f ca="1">IF($G65="Всього:",SUM($J$4:J64),IF(I65-SUM(K65:L65)&lt;0,0,I65-SUM(K65:L65)))</f>
        <v>#VALUE!</v>
      </c>
      <c r="K65" s="25" t="e">
        <f ca="1">IF(G65="Всього:",SUM($K$5:K64),F65*O64/36000*(G65-G64))</f>
        <v>#VALUE!</v>
      </c>
      <c r="L65" s="25" t="e">
        <f>IF(G65="Всього:",SUM($L$5:L64),$E$4)</f>
        <v>#VALUE!</v>
      </c>
      <c r="M65" s="25" t="e">
        <f ca="1">IF(G65="Всього:",SUM($M$5:M64),IF($E$5="UAH",J65+L65+K65,J65+K65))</f>
        <v>#VALUE!</v>
      </c>
      <c r="N65" s="27">
        <f ca="1">IF(G65="Всього:",SUM($N$4:N64),IF($E$5="UAH","",L65))</f>
        <v>0</v>
      </c>
      <c r="O65" s="25" t="e">
        <f t="shared" ca="1" si="0"/>
        <v>#VALUE!</v>
      </c>
      <c r="P65" s="33" t="str">
        <f t="shared" si="1"/>
        <v>Всього:</v>
      </c>
      <c r="Q65" s="8" t="e">
        <f t="shared" ca="1" si="4"/>
        <v>#VALUE!</v>
      </c>
      <c r="R65" s="8" t="str">
        <f>IF(E8&gt;H65,$AA$7*0.9*0.9*0.9*0.9*0.9*5.48%,"")</f>
        <v/>
      </c>
    </row>
    <row r="66" spans="6:18" s="8" customFormat="1" ht="13.2" x14ac:dyDescent="0.25">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3.2" x14ac:dyDescent="0.25">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3.2" x14ac:dyDescent="0.25">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3.2" x14ac:dyDescent="0.25">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3.2" x14ac:dyDescent="0.25">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3.2" x14ac:dyDescent="0.25">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3.2" x14ac:dyDescent="0.25">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3.2" x14ac:dyDescent="0.25">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3.2" x14ac:dyDescent="0.25">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3.2" x14ac:dyDescent="0.25">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3.2" x14ac:dyDescent="0.25">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3.2" x14ac:dyDescent="0.25">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3.2" x14ac:dyDescent="0.25">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3.2" x14ac:dyDescent="0.25">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3.2" x14ac:dyDescent="0.25">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3.2" x14ac:dyDescent="0.25">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3.2" x14ac:dyDescent="0.25">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3.2" x14ac:dyDescent="0.25">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3.2" x14ac:dyDescent="0.25">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3.2" x14ac:dyDescent="0.25">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3.2" x14ac:dyDescent="0.25">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3.2" x14ac:dyDescent="0.25">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3.2" x14ac:dyDescent="0.25">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3.2" x14ac:dyDescent="0.25">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59" priority="8">
      <formula>LEN(TRIM(B16))=0</formula>
    </cfRule>
  </conditionalFormatting>
  <conditionalFormatting sqref="F5:F248 G6:G248">
    <cfRule type="expression" dxfId="58" priority="19" stopIfTrue="1">
      <formula>IF($G5="Всього:",TRUE,FALSE)</formula>
    </cfRule>
    <cfRule type="expression" dxfId="57" priority="20" stopIfTrue="1">
      <formula>IF($G4="Всього:",TRUE,FALSE)</formula>
    </cfRule>
    <cfRule type="expression" dxfId="56" priority="21" stopIfTrue="1">
      <formula>IF(IF($I$5=0,$H5&gt;$E$3+2,$H5&gt;$E$3+1),TRUE,FALSE)</formula>
    </cfRule>
  </conditionalFormatting>
  <conditionalFormatting sqref="H5:H248">
    <cfRule type="expression" dxfId="55" priority="22" stopIfTrue="1">
      <formula>IF($G5="Всього:",TRUE,FALSE)</formula>
    </cfRule>
    <cfRule type="expression" dxfId="54" priority="23" stopIfTrue="1">
      <formula>IF($G4="Всього:",TRUE,FALSE)</formula>
    </cfRule>
    <cfRule type="expression" dxfId="53" priority="24" stopIfTrue="1">
      <formula>IF(IF($I$5=0,$H5&gt;$E$3+2,$H5&gt;$E$3+1),TRUE,FALSE)</formula>
    </cfRule>
  </conditionalFormatting>
  <conditionalFormatting sqref="I5:I248">
    <cfRule type="expression" dxfId="52" priority="16" stopIfTrue="1">
      <formula>IF($G5="Всього:",TRUE,FALSE)</formula>
    </cfRule>
    <cfRule type="expression" dxfId="51" priority="17" stopIfTrue="1">
      <formula>IF($G4="Всього:",TRUE,FALSE)</formula>
    </cfRule>
    <cfRule type="expression" dxfId="50" priority="18" stopIfTrue="1">
      <formula>IF(IF($J$5=0,$H5&gt;$E$3+2,$H5&gt;$E$3+1),TRUE,FALSE)</formula>
    </cfRule>
  </conditionalFormatting>
  <conditionalFormatting sqref="J5:K5 N5:N248 J6:M248">
    <cfRule type="expression" dxfId="49" priority="10" stopIfTrue="1">
      <formula>IF($G5="Всього:",TRUE,FALSE)</formula>
    </cfRule>
    <cfRule type="expression" dxfId="48" priority="11" stopIfTrue="1">
      <formula>IF($G4="Всього:",TRUE,FALSE)</formula>
    </cfRule>
    <cfRule type="expression" dxfId="47" priority="12" stopIfTrue="1">
      <formula>IF(IF($J$5=0,$H5&gt;$E$3+2,$H5&gt;$E$3+1),TRUE,FALSE)</formula>
    </cfRule>
  </conditionalFormatting>
  <conditionalFormatting sqref="L5">
    <cfRule type="expression" dxfId="46" priority="9" stopIfTrue="1">
      <formula>IF($G4="Всього:",TRUE,FALSE)</formula>
    </cfRule>
  </conditionalFormatting>
  <conditionalFormatting sqref="O6:O248">
    <cfRule type="expression" dxfId="45" priority="13" stopIfTrue="1">
      <formula>IF($G6="Всього:",TRUE,FALSE)</formula>
    </cfRule>
    <cfRule type="expression" dxfId="44" priority="14" stopIfTrue="1">
      <formula>IF($G5="Всього:",TRUE,FALSE)</formula>
    </cfRule>
    <cfRule type="expression" dxfId="43"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AX1754"/>
  <sheetViews>
    <sheetView tabSelected="1" zoomScale="70" zoomScaleNormal="70" zoomScaleSheetLayoutView="80" zoomScalePageLayoutView="70" workbookViewId="0">
      <selection activeCell="BB8" sqref="BB8"/>
    </sheetView>
  </sheetViews>
  <sheetFormatPr defaultColWidth="9.21875" defaultRowHeight="14.4" x14ac:dyDescent="0.3"/>
  <cols>
    <col min="1" max="1" width="0.5546875" style="46" customWidth="1"/>
    <col min="2" max="2" width="3.21875" style="41" customWidth="1"/>
    <col min="3" max="3" width="6.5546875" style="41" customWidth="1"/>
    <col min="4" max="4" width="22.5546875" style="41" customWidth="1"/>
    <col min="5" max="5" width="8.77734375" style="41" customWidth="1"/>
    <col min="6" max="6" width="16.44140625" style="41" customWidth="1"/>
    <col min="7" max="7" width="6.44140625" style="41" customWidth="1"/>
    <col min="8" max="8" width="12.5546875" style="47" customWidth="1"/>
    <col min="9" max="9" width="2.44140625" style="48" hidden="1" customWidth="1"/>
    <col min="10" max="10" width="4" style="3" hidden="1" customWidth="1"/>
    <col min="11" max="11" width="2" style="41" hidden="1" customWidth="1"/>
    <col min="12" max="12" width="20.5546875" style="41" customWidth="1"/>
    <col min="13" max="13" width="32.21875" style="41" customWidth="1"/>
    <col min="14" max="14" width="39" style="41" customWidth="1"/>
    <col min="15" max="15" width="27" style="63" hidden="1" customWidth="1"/>
    <col min="16" max="16" width="9.21875" style="63" hidden="1" customWidth="1"/>
    <col min="17" max="17" width="20" style="62" hidden="1" customWidth="1"/>
    <col min="18" max="18" width="13" style="62" hidden="1" customWidth="1"/>
    <col min="19" max="19" width="25" style="62" hidden="1" customWidth="1"/>
    <col min="20" max="20" width="9.21875" style="62" hidden="1" customWidth="1"/>
    <col min="21" max="21" width="10.77734375" style="62" hidden="1" customWidth="1"/>
    <col min="22" max="22" width="12.77734375" style="62" hidden="1" customWidth="1"/>
    <col min="23" max="25" width="9.21875" style="62" hidden="1" customWidth="1"/>
    <col min="26" max="26" width="11.44140625" style="116" hidden="1" customWidth="1"/>
    <col min="27" max="27" width="11" style="62" hidden="1" customWidth="1"/>
    <col min="28" max="28" width="14.5546875" style="62" hidden="1" customWidth="1"/>
    <col min="29" max="30" width="9.21875" style="62" hidden="1" customWidth="1"/>
    <col min="31" max="31" width="13.44140625" style="62" hidden="1" customWidth="1"/>
    <col min="32" max="36" width="9.21875" style="62" hidden="1" customWidth="1"/>
    <col min="37" max="37" width="14.5546875" style="62" hidden="1" customWidth="1"/>
    <col min="38" max="39" width="9.21875" style="62" hidden="1" customWidth="1"/>
    <col min="40" max="40" width="12.5546875" style="62" hidden="1" customWidth="1"/>
    <col min="41" max="41" width="9.21875" style="69" hidden="1" customWidth="1"/>
    <col min="42" max="45" width="9.21875" style="62" hidden="1" customWidth="1"/>
    <col min="46" max="46" width="13.44140625" style="62" hidden="1" customWidth="1"/>
    <col min="47" max="47" width="17.21875" style="63" hidden="1" customWidth="1"/>
    <col min="48" max="48" width="11" style="63" hidden="1" customWidth="1"/>
    <col min="49" max="49" width="14.77734375" style="63" hidden="1" customWidth="1"/>
    <col min="50" max="50" width="16.44140625" style="63" hidden="1" customWidth="1"/>
    <col min="51" max="77" width="9.21875" style="41" customWidth="1"/>
    <col min="78" max="16384" width="9.21875" style="41"/>
  </cols>
  <sheetData>
    <row r="1" spans="1:50" ht="141" customHeight="1" thickBot="1" x14ac:dyDescent="0.35">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row>
    <row r="2" spans="1:50" ht="46.35" customHeight="1" thickBot="1" x14ac:dyDescent="0.4">
      <c r="A2" s="43"/>
      <c r="B2" s="248" t="s">
        <v>224</v>
      </c>
      <c r="C2" s="249"/>
      <c r="D2" s="249"/>
      <c r="E2" s="250" t="s">
        <v>225</v>
      </c>
      <c r="F2" s="251"/>
      <c r="G2" s="170"/>
      <c r="H2" s="170"/>
      <c r="I2" s="170"/>
      <c r="J2" s="171"/>
      <c r="K2" s="172"/>
      <c r="L2" s="252" t="s">
        <v>226</v>
      </c>
      <c r="M2" s="253"/>
      <c r="N2" s="208" t="str">
        <f>IF(R9&gt;0.8,"Не достатня сума авансу",Q47)</f>
        <v>Не достатня сума авансу</v>
      </c>
      <c r="O2" s="213" t="s">
        <v>227</v>
      </c>
      <c r="P2" s="63">
        <f>IF(N7="ні",N6,0)</f>
        <v>16532.950500000003</v>
      </c>
      <c r="R2" s="70">
        <v>12</v>
      </c>
      <c r="S2" s="67"/>
      <c r="T2" s="71"/>
      <c r="U2" s="72" t="s">
        <v>228</v>
      </c>
      <c r="V2" s="71"/>
      <c r="W2" s="73">
        <f>IF(AND(V3=1,W3=1),2,0)</f>
        <v>2</v>
      </c>
      <c r="X2" s="169">
        <f>IF(OR(E4=0,AND(F8=0,F10=0),E12=0),1,0)</f>
        <v>0</v>
      </c>
      <c r="Y2" s="67"/>
      <c r="Z2" s="199" t="s">
        <v>229</v>
      </c>
      <c r="AA2" s="198" t="s">
        <v>230</v>
      </c>
      <c r="AC2" s="254" t="s">
        <v>231</v>
      </c>
      <c r="AD2" s="255"/>
      <c r="AE2" s="255"/>
      <c r="AF2" s="255"/>
      <c r="AG2" s="255"/>
      <c r="AH2" s="255"/>
      <c r="AI2" s="255"/>
      <c r="AJ2" s="256"/>
      <c r="AL2" s="276" t="s">
        <v>231</v>
      </c>
      <c r="AM2" s="277"/>
      <c r="AN2" s="277"/>
      <c r="AO2" s="277"/>
      <c r="AP2" s="277"/>
      <c r="AQ2" s="277"/>
      <c r="AR2" s="277"/>
      <c r="AS2" s="277"/>
      <c r="AT2" s="278"/>
      <c r="AV2" s="75"/>
      <c r="AW2" s="63">
        <f>IF(E12=R8,N8+AW16+AW28+AW40+AW52+AW64+AW76,IF(E12=R7,N8+AW16+AW28+AW40+AW52+AW64,IF(E12=R6,N8+AW16+AW28+AW40+AW52,IF(E12=R5,N8+AW16+AW28+AW40,IF(E12=R4,N8+AW16+AW28,IF(E12=R3,N8+AW16,IF(E12=R2,N8)))))))</f>
        <v>574082.77500000002</v>
      </c>
      <c r="AX2" s="63" t="e">
        <f>IF(E12=R8,#REF!+AX16+AX28+AX40+AX52+AX64+AX76,IF(E12=R7,#REF!+AX16+AX28+AX40+AX52+AX64,IF(E12=R6,#REF!+AX16+AX28+AX40+AX52,IF(E12=R5,#REF!+AX16+AX28+AX40,IF(E12=R4,#REF!+AX16+AX28,IF(E12=R3,#REF!+AX16,IF(E12=R2,#REF!)))))))</f>
        <v>#REF!</v>
      </c>
    </row>
    <row r="3" spans="1:50" ht="8.1" customHeight="1" thickBot="1" x14ac:dyDescent="0.4">
      <c r="A3" s="50"/>
      <c r="B3" s="173"/>
      <c r="C3" s="173"/>
      <c r="D3" s="173"/>
      <c r="E3" s="173"/>
      <c r="F3" s="173"/>
      <c r="G3" s="170"/>
      <c r="H3" s="173"/>
      <c r="I3" s="173"/>
      <c r="J3" s="173"/>
      <c r="K3" s="173"/>
      <c r="L3" s="173"/>
      <c r="M3" s="173"/>
      <c r="N3" s="173"/>
      <c r="R3" s="70">
        <v>24</v>
      </c>
      <c r="S3" s="76"/>
      <c r="T3" s="73" t="b">
        <v>0</v>
      </c>
      <c r="U3" s="77" t="s">
        <v>232</v>
      </c>
      <c r="V3" s="73">
        <f>IF(E2="",0,1)</f>
        <v>1</v>
      </c>
      <c r="W3" s="73">
        <f>IF(E4="",0,1)</f>
        <v>1</v>
      </c>
      <c r="X3" s="73">
        <f>IF(AND(F8=0,F10=0),0,IF(AND(F8&gt;0,F10=""),1,IF(AND(F8=0,F10&gt;0),2,3)))</f>
        <v>2</v>
      </c>
      <c r="Y3" s="67"/>
      <c r="Z3" s="133">
        <f>Z16+Z28+Z40+Z52+Z64+Z76</f>
        <v>433298.52450000006</v>
      </c>
      <c r="AA3" s="196" t="e">
        <f>-N2+R36+R37+R38+R39+R40</f>
        <v>#VALUE!</v>
      </c>
      <c r="AB3" s="195">
        <f ca="1">V19</f>
        <v>46043</v>
      </c>
      <c r="AC3" s="279" t="s">
        <v>182</v>
      </c>
      <c r="AD3" s="280"/>
      <c r="AE3" s="79" t="s">
        <v>233</v>
      </c>
      <c r="AF3" s="79" t="s">
        <v>234</v>
      </c>
      <c r="AG3" s="281" t="s">
        <v>235</v>
      </c>
      <c r="AH3" s="282"/>
      <c r="AI3" s="281" t="s">
        <v>236</v>
      </c>
      <c r="AJ3" s="282"/>
      <c r="AK3" s="80" t="s">
        <v>237</v>
      </c>
      <c r="AL3" s="279" t="s">
        <v>182</v>
      </c>
      <c r="AM3" s="280"/>
      <c r="AN3" s="79" t="s">
        <v>233</v>
      </c>
      <c r="AO3" s="79" t="s">
        <v>234</v>
      </c>
      <c r="AP3" s="281" t="s">
        <v>235</v>
      </c>
      <c r="AQ3" s="282"/>
      <c r="AR3" s="281" t="s">
        <v>236</v>
      </c>
      <c r="AS3" s="282"/>
      <c r="AT3" s="79" t="s">
        <v>188</v>
      </c>
      <c r="AU3" s="81" t="e">
        <f>-N2+N8+#REF!+N12+N6+#REF!</f>
        <v>#VALUE!</v>
      </c>
    </row>
    <row r="4" spans="1:50" ht="30" customHeight="1" thickBot="1" x14ac:dyDescent="0.4">
      <c r="A4" s="42"/>
      <c r="B4" s="248" t="s">
        <v>238</v>
      </c>
      <c r="C4" s="249"/>
      <c r="D4" s="269"/>
      <c r="E4" s="261">
        <v>2550000</v>
      </c>
      <c r="F4" s="262"/>
      <c r="G4" s="170"/>
      <c r="H4" s="174"/>
      <c r="I4" s="174"/>
      <c r="K4" s="207"/>
      <c r="L4" s="272" t="s">
        <v>239</v>
      </c>
      <c r="M4" s="273"/>
      <c r="N4" s="176">
        <f>IF(X4=1,F8/E4,IF(X4=2,E4/100*F10,""))</f>
        <v>1020000</v>
      </c>
      <c r="O4" s="213" t="s">
        <v>240</v>
      </c>
      <c r="P4" s="63">
        <f>IF(N9="ні",N8,0)</f>
        <v>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1</v>
      </c>
      <c r="X4" s="73">
        <f>IF(AND(V4=1,W4=0),1,IF(AND(W4=1,V4=0),2,IF(AND(V4=1,W4=1),3,IF(AND(V4=0,W4=0),4))))</f>
        <v>2</v>
      </c>
      <c r="AA4" s="196" t="e">
        <f>AI4</f>
        <v>#VALUE!</v>
      </c>
      <c r="AB4" s="185">
        <f ca="1">IF(AND(DAY(V19)&lt;=15,$V$20&gt;DAY(V19)),DATE(YEAR(V19),MONTH(V19),IF($V$20&lt;&gt;"",DAY(IF($V$20&gt;DAY(EOMONTH(V19,0)),EOMONTH(V19,0),$V$20)),DAY(1))),DATE(YEAR(V19),MONTH(V19)+1,IF($V$20&lt;&gt;"",DAY(IF($V$20&gt;DAY(EOMONTH(V19,1)),EOMONTH(V19,1),$V$20)),DAY(1))))</f>
        <v>46074</v>
      </c>
      <c r="AC4" s="265">
        <v>1</v>
      </c>
      <c r="AD4" s="266"/>
      <c r="AE4" s="83" t="e">
        <f>IF($U$2=$X$17,PPMT($E$14/1200,AC4,$E$12,-$N$2))</f>
        <v>#VALUE!</v>
      </c>
      <c r="AF4" s="84"/>
      <c r="AG4" s="267" t="e">
        <f>IF($AE$4=0,$N$2*($E$14/100)*(AB4-$V$19+1)/360,IPMT($E$14/1200,AC4,$E$12,-$N$2))</f>
        <v>#VALUE!</v>
      </c>
      <c r="AH4" s="268"/>
      <c r="AI4" s="259" t="e">
        <f>AG4+AE4</f>
        <v>#VALUE!</v>
      </c>
      <c r="AJ4" s="260"/>
      <c r="AK4" s="85">
        <f ca="1">DATE(YEAR($V$19),MONTH($V$19)+1,DAY(1)-1)</f>
        <v>46053</v>
      </c>
      <c r="AL4" s="265">
        <v>1</v>
      </c>
      <c r="AM4" s="266"/>
      <c r="AN4" s="86">
        <f ca="1">IF($V$20&gt;15,0,$N$2/$E$12)</f>
        <v>0</v>
      </c>
      <c r="AO4" s="87"/>
      <c r="AP4" s="283" t="e">
        <f ca="1">IF(AN4=0,$N$2*($E$14/100)*(AK4-$V$19+1)/360,$N$2*$E$14/100*31/360)</f>
        <v>#VALUE!</v>
      </c>
      <c r="AQ4" s="284"/>
      <c r="AR4" s="285" t="e">
        <f ca="1">AP4</f>
        <v>#VALUE!</v>
      </c>
      <c r="AS4" s="286"/>
      <c r="AT4" s="87"/>
      <c r="AU4" s="75" t="e">
        <f>AI4</f>
        <v>#VALUE!</v>
      </c>
    </row>
    <row r="5" spans="1:50" ht="7.35" customHeight="1" thickBot="1" x14ac:dyDescent="0.4">
      <c r="A5" s="48"/>
      <c r="B5" s="174"/>
      <c r="C5" s="174"/>
      <c r="D5" s="174"/>
      <c r="E5" s="174"/>
      <c r="F5" s="174"/>
      <c r="G5" s="170"/>
      <c r="H5" s="174"/>
      <c r="I5" s="174"/>
      <c r="J5" s="174"/>
      <c r="K5" s="174"/>
      <c r="L5" s="174"/>
      <c r="M5" s="174"/>
      <c r="N5" s="174"/>
      <c r="R5" s="88">
        <v>48</v>
      </c>
      <c r="T5" s="71"/>
      <c r="V5" s="71"/>
      <c r="W5" s="78"/>
      <c r="X5" s="71"/>
      <c r="Y5" s="67"/>
      <c r="AA5" s="196" t="e">
        <f t="shared" ref="AA5:AA68" si="0">AI5</f>
        <v>#VALUE!</v>
      </c>
      <c r="AB5" s="185">
        <f ca="1">IF(AC5&gt;$V$26,"-",IF($V$26=AC5,$V$25,DATE(YEAR(AB4),MONTH(AB4)+1,IF($V$20&lt;&gt;"",DAY(IF($V$20&gt;DAY(EOMONTH(AB4,1)),EOMONTH(AB4,1),$V$20)),DAY(1)))))</f>
        <v>46102</v>
      </c>
      <c r="AC5" s="229">
        <v>2</v>
      </c>
      <c r="AD5" s="230"/>
      <c r="AE5" s="83" t="e">
        <f>IF(AC5&gt;$V$26,"-",IF($AE$4=0,PPMT($E$14/1200,AC4,$E$12,-$N$2),PPMT($E$14/1200,AC5,$E$12,-$N$2)))</f>
        <v>#VALUE!</v>
      </c>
      <c r="AF5" s="84"/>
      <c r="AG5" s="235" t="e">
        <f>IF(AC5&gt;$V$26,"-",IF($AE$4=0,IPMT($E$14/1200,AC4,$E$12,-$N$2),IPMT($E$14/1200,AC5,$E$12,-$N$2)))</f>
        <v>#VALUE!</v>
      </c>
      <c r="AH5" s="236"/>
      <c r="AI5" s="237" t="e">
        <f>IF(AC5&gt;$V$26,"-",AG5+AE5)</f>
        <v>#VALUE!</v>
      </c>
      <c r="AJ5" s="238"/>
      <c r="AK5" s="85">
        <f t="shared" ref="AK5:AK68" ca="1" si="1">IF(AL5="","",DATE(YEAR(AK4),MONTH(AK4)+2,DAY(1)-1))</f>
        <v>46081</v>
      </c>
      <c r="AL5" s="229">
        <v>2</v>
      </c>
      <c r="AM5" s="230"/>
      <c r="AN5" s="86" t="e">
        <f t="shared" ref="AN5:AN68" si="2">$N$2/$E$12</f>
        <v>#VALUE!</v>
      </c>
      <c r="AO5" s="87"/>
      <c r="AP5" s="231" t="e">
        <f t="shared" ref="AP5:AP68" ca="1" si="3">AT5*$E$14/100*(AK5-AK4)/360</f>
        <v>#VALUE!</v>
      </c>
      <c r="AQ5" s="232"/>
      <c r="AR5" s="233" t="e">
        <f t="shared" ref="AR5:AR68" ca="1" si="4">AN5+AP5</f>
        <v>#VALUE!</v>
      </c>
      <c r="AS5" s="234"/>
      <c r="AT5" s="87" t="e">
        <f ca="1">$N$2-AN4</f>
        <v>#VALUE!</v>
      </c>
      <c r="AU5" s="75" t="e">
        <f t="shared" ref="AU5:AU68" si="5">AI5</f>
        <v>#VALUE!</v>
      </c>
    </row>
    <row r="6" spans="1:50" ht="23.1" customHeight="1" thickBot="1" x14ac:dyDescent="0.4">
      <c r="A6" s="48"/>
      <c r="B6" s="248" t="s">
        <v>241</v>
      </c>
      <c r="C6" s="249"/>
      <c r="D6" s="269"/>
      <c r="E6" s="270" t="s">
        <v>16</v>
      </c>
      <c r="F6" s="271"/>
      <c r="G6" s="170"/>
      <c r="H6" s="174"/>
      <c r="I6" s="170"/>
      <c r="J6" s="171"/>
      <c r="K6" s="172"/>
      <c r="L6" s="263" t="s">
        <v>213</v>
      </c>
      <c r="M6" s="264"/>
      <c r="N6" s="211">
        <f>R37</f>
        <v>16532.950500000003</v>
      </c>
      <c r="O6" s="213" t="s">
        <v>227</v>
      </c>
      <c r="R6" s="89">
        <v>60</v>
      </c>
      <c r="T6" s="71"/>
      <c r="W6" s="78"/>
      <c r="X6" s="71"/>
      <c r="Y6" s="67"/>
      <c r="AA6" s="196" t="e">
        <f t="shared" si="0"/>
        <v>#VALUE!</v>
      </c>
      <c r="AB6" s="185">
        <f t="shared" ref="AB6:AB69" ca="1" si="6">IF(AC6&gt;$V$26,"-",IF($V$26=AC6,$V$25,DATE(YEAR(AB5),MONTH(AB5)+1,IF($V$20&lt;&gt;"",DAY(IF($V$20&gt;DAY(EOMONTH(AB5,1)),EOMONTH(AB5,1),$V$20)),DAY(1)))))</f>
        <v>46133</v>
      </c>
      <c r="AC6" s="229">
        <v>3</v>
      </c>
      <c r="AD6" s="230"/>
      <c r="AE6" s="83" t="e">
        <f t="shared" ref="AE6:AE69" si="7">IF(AC6&gt;$V$26,"-",IF($AE$4=0,PPMT($E$14/1200,AC5,$E$12,-$N$2),PPMT($E$14/1200,AC6,$E$12,-$N$2)))</f>
        <v>#VALUE!</v>
      </c>
      <c r="AF6" s="84"/>
      <c r="AG6" s="235" t="e">
        <f t="shared" ref="AG6:AG69" si="8">IF(AC6&gt;$V$26,"-",IF($AE$4=0,IPMT($E$14/1200,AC5,$E$12,-$N$2),IPMT($E$14/1200,AC6,$E$12,-$N$2)))</f>
        <v>#VALUE!</v>
      </c>
      <c r="AH6" s="236"/>
      <c r="AI6" s="237" t="e">
        <f t="shared" ref="AI6:AI69" si="9">IF(AC6&gt;$V$26,"-",AG6+AE6)</f>
        <v>#VALUE!</v>
      </c>
      <c r="AJ6" s="238"/>
      <c r="AK6" s="85">
        <f t="shared" ca="1" si="1"/>
        <v>46112</v>
      </c>
      <c r="AL6" s="229">
        <v>3</v>
      </c>
      <c r="AM6" s="230"/>
      <c r="AN6" s="86" t="e">
        <f t="shared" si="2"/>
        <v>#VALUE!</v>
      </c>
      <c r="AO6" s="87"/>
      <c r="AP6" s="231" t="e">
        <f t="shared" ca="1" si="3"/>
        <v>#VALUE!</v>
      </c>
      <c r="AQ6" s="232"/>
      <c r="AR6" s="233" t="e">
        <f t="shared" ca="1" si="4"/>
        <v>#VALUE!</v>
      </c>
      <c r="AS6" s="234"/>
      <c r="AT6" s="87" t="e">
        <f t="shared" ref="AT6:AT69" ca="1" si="10">AT5-AN5</f>
        <v>#VALUE!</v>
      </c>
      <c r="AU6" s="75" t="e">
        <f t="shared" si="5"/>
        <v>#VALUE!</v>
      </c>
    </row>
    <row r="7" spans="1:50" ht="21.6" customHeight="1" thickBot="1" x14ac:dyDescent="0.4">
      <c r="A7" s="48"/>
      <c r="B7" s="174"/>
      <c r="C7" s="174"/>
      <c r="D7" s="174"/>
      <c r="E7" s="174"/>
      <c r="F7" s="174"/>
      <c r="G7" s="170"/>
      <c r="H7" s="170"/>
      <c r="I7" s="170"/>
      <c r="J7" s="170"/>
      <c r="K7" s="170"/>
      <c r="L7" s="274" t="s">
        <v>242</v>
      </c>
      <c r="M7" s="275"/>
      <c r="N7" s="212" t="s">
        <v>243</v>
      </c>
      <c r="R7" s="70">
        <v>72</v>
      </c>
      <c r="T7" s="90"/>
      <c r="U7" s="90"/>
      <c r="V7" s="90"/>
      <c r="X7" s="71"/>
      <c r="Y7" s="67"/>
      <c r="AA7" s="196" t="e">
        <f t="shared" si="0"/>
        <v>#VALUE!</v>
      </c>
      <c r="AB7" s="185">
        <f t="shared" ca="1" si="6"/>
        <v>46163</v>
      </c>
      <c r="AC7" s="229">
        <v>4</v>
      </c>
      <c r="AD7" s="230"/>
      <c r="AE7" s="83" t="e">
        <f t="shared" si="7"/>
        <v>#VALUE!</v>
      </c>
      <c r="AF7" s="84"/>
      <c r="AG7" s="235" t="e">
        <f t="shared" si="8"/>
        <v>#VALUE!</v>
      </c>
      <c r="AH7" s="236"/>
      <c r="AI7" s="237" t="e">
        <f t="shared" si="9"/>
        <v>#VALUE!</v>
      </c>
      <c r="AJ7" s="238"/>
      <c r="AK7" s="85">
        <f t="shared" ca="1" si="1"/>
        <v>46142</v>
      </c>
      <c r="AL7" s="229">
        <v>4</v>
      </c>
      <c r="AM7" s="230"/>
      <c r="AN7" s="86" t="e">
        <f t="shared" si="2"/>
        <v>#VALUE!</v>
      </c>
      <c r="AO7" s="87"/>
      <c r="AP7" s="231" t="e">
        <f t="shared" ca="1" si="3"/>
        <v>#VALUE!</v>
      </c>
      <c r="AQ7" s="232"/>
      <c r="AR7" s="233" t="e">
        <f t="shared" ca="1" si="4"/>
        <v>#VALUE!</v>
      </c>
      <c r="AS7" s="234"/>
      <c r="AT7" s="87" t="e">
        <f t="shared" ca="1" si="10"/>
        <v>#VALUE!</v>
      </c>
      <c r="AU7" s="75" t="e">
        <f t="shared" si="5"/>
        <v>#VALUE!</v>
      </c>
    </row>
    <row r="8" spans="1:50" ht="25.35" customHeight="1" thickBot="1" x14ac:dyDescent="0.4">
      <c r="A8" s="48"/>
      <c r="B8" s="321" t="s">
        <v>244</v>
      </c>
      <c r="C8" s="322"/>
      <c r="D8" s="323"/>
      <c r="E8" s="175" t="s">
        <v>245</v>
      </c>
      <c r="F8" s="214"/>
      <c r="G8" s="170"/>
      <c r="H8" s="170"/>
      <c r="I8" s="170"/>
      <c r="J8" s="171"/>
      <c r="K8" s="172"/>
      <c r="L8" s="257" t="s">
        <v>246</v>
      </c>
      <c r="M8" s="258"/>
      <c r="N8" s="211">
        <f>R38</f>
        <v>139995</v>
      </c>
      <c r="R8" s="91">
        <v>84</v>
      </c>
      <c r="AA8" s="196" t="e">
        <f t="shared" si="0"/>
        <v>#VALUE!</v>
      </c>
      <c r="AB8" s="185">
        <f t="shared" ca="1" si="6"/>
        <v>46194</v>
      </c>
      <c r="AC8" s="229">
        <v>5</v>
      </c>
      <c r="AD8" s="230"/>
      <c r="AE8" s="83" t="e">
        <f t="shared" si="7"/>
        <v>#VALUE!</v>
      </c>
      <c r="AF8" s="84"/>
      <c r="AG8" s="235" t="e">
        <f t="shared" si="8"/>
        <v>#VALUE!</v>
      </c>
      <c r="AH8" s="236"/>
      <c r="AI8" s="237" t="e">
        <f t="shared" si="9"/>
        <v>#VALUE!</v>
      </c>
      <c r="AJ8" s="238"/>
      <c r="AK8" s="85">
        <f t="shared" ca="1" si="1"/>
        <v>46173</v>
      </c>
      <c r="AL8" s="229">
        <v>5</v>
      </c>
      <c r="AM8" s="230"/>
      <c r="AN8" s="86" t="e">
        <f t="shared" si="2"/>
        <v>#VALUE!</v>
      </c>
      <c r="AO8" s="87"/>
      <c r="AP8" s="231" t="e">
        <f t="shared" ca="1" si="3"/>
        <v>#VALUE!</v>
      </c>
      <c r="AQ8" s="232"/>
      <c r="AR8" s="233" t="e">
        <f t="shared" ca="1" si="4"/>
        <v>#VALUE!</v>
      </c>
      <c r="AS8" s="234"/>
      <c r="AT8" s="87" t="e">
        <f t="shared" ca="1" si="10"/>
        <v>#VALUE!</v>
      </c>
      <c r="AU8" s="75" t="e">
        <f t="shared" si="5"/>
        <v>#VALUE!</v>
      </c>
    </row>
    <row r="9" spans="1:50" ht="40.5" customHeight="1" thickBot="1" x14ac:dyDescent="0.4">
      <c r="A9" s="48"/>
      <c r="B9" s="324"/>
      <c r="C9" s="325"/>
      <c r="D9" s="326"/>
      <c r="E9" s="319" t="s">
        <v>247</v>
      </c>
      <c r="F9" s="320"/>
      <c r="G9" s="174"/>
      <c r="H9" s="174"/>
      <c r="I9" s="174"/>
      <c r="J9" s="174"/>
      <c r="K9" s="174"/>
      <c r="L9" s="317" t="s">
        <v>248</v>
      </c>
      <c r="M9" s="318"/>
      <c r="N9" s="212" t="s">
        <v>249</v>
      </c>
      <c r="O9" s="62"/>
      <c r="Q9" s="62" t="s">
        <v>103</v>
      </c>
      <c r="R9" s="62">
        <f>R16/E4</f>
        <v>0.65490000000000004</v>
      </c>
      <c r="U9" s="209" t="s">
        <v>519</v>
      </c>
      <c r="V9" s="148">
        <f>E4-V14+V10+V12</f>
        <v>1669995</v>
      </c>
      <c r="AA9" s="196" t="e">
        <f t="shared" si="0"/>
        <v>#VALUE!</v>
      </c>
      <c r="AB9" s="185">
        <f t="shared" ca="1" si="6"/>
        <v>46224</v>
      </c>
      <c r="AC9" s="229">
        <v>6</v>
      </c>
      <c r="AD9" s="230"/>
      <c r="AE9" s="83" t="e">
        <f t="shared" si="7"/>
        <v>#VALUE!</v>
      </c>
      <c r="AF9" s="84"/>
      <c r="AG9" s="235" t="e">
        <f t="shared" si="8"/>
        <v>#VALUE!</v>
      </c>
      <c r="AH9" s="236"/>
      <c r="AI9" s="237" t="e">
        <f t="shared" si="9"/>
        <v>#VALUE!</v>
      </c>
      <c r="AJ9" s="238"/>
      <c r="AK9" s="85">
        <f t="shared" ca="1" si="1"/>
        <v>46203</v>
      </c>
      <c r="AL9" s="229">
        <v>6</v>
      </c>
      <c r="AM9" s="230"/>
      <c r="AN9" s="86" t="e">
        <f t="shared" si="2"/>
        <v>#VALUE!</v>
      </c>
      <c r="AO9" s="87"/>
      <c r="AP9" s="231" t="e">
        <f t="shared" ca="1" si="3"/>
        <v>#VALUE!</v>
      </c>
      <c r="AQ9" s="232"/>
      <c r="AR9" s="233" t="e">
        <f t="shared" ca="1" si="4"/>
        <v>#VALUE!</v>
      </c>
      <c r="AS9" s="234"/>
      <c r="AT9" s="87" t="e">
        <f t="shared" ca="1" si="10"/>
        <v>#VALUE!</v>
      </c>
      <c r="AU9" s="75" t="e">
        <f t="shared" si="5"/>
        <v>#VALUE!</v>
      </c>
    </row>
    <row r="10" spans="1:50" ht="22.35" customHeight="1" thickBot="1" x14ac:dyDescent="0.4">
      <c r="A10" s="48"/>
      <c r="B10" s="327"/>
      <c r="C10" s="328"/>
      <c r="D10" s="329"/>
      <c r="E10" s="175" t="s">
        <v>191</v>
      </c>
      <c r="F10" s="177">
        <v>40</v>
      </c>
      <c r="G10" s="170"/>
      <c r="H10" s="174"/>
      <c r="I10" s="174"/>
      <c r="J10" s="174"/>
      <c r="K10" s="174"/>
      <c r="L10" s="331" t="s">
        <v>250</v>
      </c>
      <c r="M10" s="332"/>
      <c r="N10" s="333">
        <f>Z3</f>
        <v>433298.52450000006</v>
      </c>
      <c r="O10" s="62"/>
      <c r="U10" s="62" t="s">
        <v>229</v>
      </c>
      <c r="V10" s="62">
        <f>IF(N9="так",N8,0)</f>
        <v>139995</v>
      </c>
      <c r="AA10" s="196" t="e">
        <f t="shared" si="0"/>
        <v>#VALUE!</v>
      </c>
      <c r="AB10" s="185">
        <f t="shared" ca="1" si="6"/>
        <v>46255</v>
      </c>
      <c r="AC10" s="229">
        <v>7</v>
      </c>
      <c r="AD10" s="230"/>
      <c r="AE10" s="83" t="e">
        <f t="shared" si="7"/>
        <v>#VALUE!</v>
      </c>
      <c r="AF10" s="84"/>
      <c r="AG10" s="235" t="e">
        <f t="shared" si="8"/>
        <v>#VALUE!</v>
      </c>
      <c r="AH10" s="236"/>
      <c r="AI10" s="237" t="e">
        <f t="shared" si="9"/>
        <v>#VALUE!</v>
      </c>
      <c r="AJ10" s="238"/>
      <c r="AK10" s="85">
        <f t="shared" ca="1" si="1"/>
        <v>46234</v>
      </c>
      <c r="AL10" s="229">
        <v>7</v>
      </c>
      <c r="AM10" s="230"/>
      <c r="AN10" s="86" t="e">
        <f t="shared" si="2"/>
        <v>#VALUE!</v>
      </c>
      <c r="AO10" s="87"/>
      <c r="AP10" s="231" t="e">
        <f t="shared" ca="1" si="3"/>
        <v>#VALUE!</v>
      </c>
      <c r="AQ10" s="232"/>
      <c r="AR10" s="233" t="e">
        <f t="shared" ca="1" si="4"/>
        <v>#VALUE!</v>
      </c>
      <c r="AS10" s="234"/>
      <c r="AT10" s="87" t="e">
        <f t="shared" ca="1" si="10"/>
        <v>#VALUE!</v>
      </c>
      <c r="AU10" s="75" t="e">
        <f t="shared" si="5"/>
        <v>#VALUE!</v>
      </c>
    </row>
    <row r="11" spans="1:50" ht="9" customHeight="1" thickBot="1" x14ac:dyDescent="0.4">
      <c r="A11" s="48"/>
      <c r="B11" s="173"/>
      <c r="C11" s="173"/>
      <c r="D11" s="173"/>
      <c r="E11" s="170"/>
      <c r="F11" s="170"/>
      <c r="G11" s="170"/>
      <c r="H11" s="174"/>
      <c r="I11" s="174"/>
      <c r="J11" s="174"/>
      <c r="K11" s="174"/>
      <c r="L11" s="304"/>
      <c r="M11" s="306"/>
      <c r="N11" s="247"/>
      <c r="O11" s="62"/>
      <c r="R11" s="92" t="s">
        <v>251</v>
      </c>
      <c r="S11" s="93"/>
      <c r="AA11" s="196" t="e">
        <f t="shared" si="0"/>
        <v>#VALUE!</v>
      </c>
      <c r="AB11" s="185">
        <f t="shared" ca="1" si="6"/>
        <v>46286</v>
      </c>
      <c r="AC11" s="229">
        <v>8</v>
      </c>
      <c r="AD11" s="230"/>
      <c r="AE11" s="83" t="e">
        <f t="shared" si="7"/>
        <v>#VALUE!</v>
      </c>
      <c r="AF11" s="84"/>
      <c r="AG11" s="235" t="e">
        <f t="shared" si="8"/>
        <v>#VALUE!</v>
      </c>
      <c r="AH11" s="236"/>
      <c r="AI11" s="237" t="e">
        <f t="shared" si="9"/>
        <v>#VALUE!</v>
      </c>
      <c r="AJ11" s="238"/>
      <c r="AK11" s="85">
        <f t="shared" ca="1" si="1"/>
        <v>46265</v>
      </c>
      <c r="AL11" s="229">
        <v>8</v>
      </c>
      <c r="AM11" s="230"/>
      <c r="AN11" s="86" t="e">
        <f t="shared" si="2"/>
        <v>#VALUE!</v>
      </c>
      <c r="AO11" s="87"/>
      <c r="AP11" s="231" t="e">
        <f t="shared" ca="1" si="3"/>
        <v>#VALUE!</v>
      </c>
      <c r="AQ11" s="232"/>
      <c r="AR11" s="233" t="e">
        <f t="shared" ca="1" si="4"/>
        <v>#VALUE!</v>
      </c>
      <c r="AS11" s="234"/>
      <c r="AT11" s="87" t="e">
        <f t="shared" ca="1" si="10"/>
        <v>#VALUE!</v>
      </c>
      <c r="AU11" s="75" t="e">
        <f t="shared" si="5"/>
        <v>#VALUE!</v>
      </c>
    </row>
    <row r="12" spans="1:50" ht="18" thickBot="1" x14ac:dyDescent="0.4">
      <c r="A12" s="48"/>
      <c r="B12" s="272" t="s">
        <v>252</v>
      </c>
      <c r="C12" s="287"/>
      <c r="D12" s="287"/>
      <c r="E12" s="288">
        <v>60</v>
      </c>
      <c r="F12" s="289"/>
      <c r="G12" s="173"/>
      <c r="H12" s="173"/>
      <c r="I12" s="173"/>
      <c r="J12" s="173"/>
      <c r="K12" s="173"/>
      <c r="L12" s="173"/>
      <c r="M12" s="173"/>
      <c r="N12" s="173"/>
      <c r="O12" s="62"/>
      <c r="Q12" s="94"/>
      <c r="R12" s="95">
        <v>0</v>
      </c>
      <c r="S12" s="94"/>
      <c r="T12" s="94"/>
      <c r="U12" s="94" t="s">
        <v>520</v>
      </c>
      <c r="V12" s="62">
        <v>0</v>
      </c>
      <c r="AA12" s="196" t="e">
        <f t="shared" si="0"/>
        <v>#VALUE!</v>
      </c>
      <c r="AB12" s="185">
        <f t="shared" ca="1" si="6"/>
        <v>46316</v>
      </c>
      <c r="AC12" s="229">
        <v>9</v>
      </c>
      <c r="AD12" s="230"/>
      <c r="AE12" s="83" t="e">
        <f t="shared" si="7"/>
        <v>#VALUE!</v>
      </c>
      <c r="AF12" s="84"/>
      <c r="AG12" s="235" t="e">
        <f t="shared" si="8"/>
        <v>#VALUE!</v>
      </c>
      <c r="AH12" s="236"/>
      <c r="AI12" s="237" t="e">
        <f t="shared" si="9"/>
        <v>#VALUE!</v>
      </c>
      <c r="AJ12" s="238"/>
      <c r="AK12" s="85">
        <f t="shared" ca="1" si="1"/>
        <v>46295</v>
      </c>
      <c r="AL12" s="229">
        <v>9</v>
      </c>
      <c r="AM12" s="230"/>
      <c r="AN12" s="86" t="e">
        <f t="shared" si="2"/>
        <v>#VALUE!</v>
      </c>
      <c r="AO12" s="87"/>
      <c r="AP12" s="231" t="e">
        <f t="shared" ca="1" si="3"/>
        <v>#VALUE!</v>
      </c>
      <c r="AQ12" s="232"/>
      <c r="AR12" s="233" t="e">
        <f t="shared" ca="1" si="4"/>
        <v>#VALUE!</v>
      </c>
      <c r="AS12" s="234"/>
      <c r="AT12" s="87" t="e">
        <f t="shared" ca="1" si="10"/>
        <v>#VALUE!</v>
      </c>
      <c r="AU12" s="75" t="e">
        <f t="shared" si="5"/>
        <v>#VALUE!</v>
      </c>
    </row>
    <row r="13" spans="1:50" ht="11.1" customHeight="1" thickBot="1" x14ac:dyDescent="0.4">
      <c r="A13" s="48"/>
      <c r="B13" s="173"/>
      <c r="C13" s="173"/>
      <c r="D13" s="173"/>
      <c r="E13" s="170"/>
      <c r="F13" s="170"/>
      <c r="G13" s="170"/>
      <c r="H13" s="170"/>
      <c r="I13" s="170"/>
      <c r="J13" s="170"/>
      <c r="K13" s="170"/>
      <c r="L13" s="291" t="s">
        <v>253</v>
      </c>
      <c r="M13" s="292"/>
      <c r="N13" s="246" t="e">
        <f>AG88</f>
        <v>#VALUE!</v>
      </c>
      <c r="O13" s="148" t="e">
        <f>N18-N21</f>
        <v>#VALUE!</v>
      </c>
      <c r="Q13" s="96"/>
      <c r="R13" s="97">
        <f>IF(R12=0,0%,5.99%)</f>
        <v>0</v>
      </c>
      <c r="S13" s="96"/>
      <c r="T13" s="96"/>
      <c r="U13" s="96"/>
      <c r="AA13" s="196" t="e">
        <f t="shared" si="0"/>
        <v>#VALUE!</v>
      </c>
      <c r="AB13" s="185">
        <f t="shared" ca="1" si="6"/>
        <v>46347</v>
      </c>
      <c r="AC13" s="229">
        <v>10</v>
      </c>
      <c r="AD13" s="230"/>
      <c r="AE13" s="83" t="e">
        <f t="shared" si="7"/>
        <v>#VALUE!</v>
      </c>
      <c r="AF13" s="84"/>
      <c r="AG13" s="235" t="e">
        <f t="shared" si="8"/>
        <v>#VALUE!</v>
      </c>
      <c r="AH13" s="236"/>
      <c r="AI13" s="237" t="e">
        <f t="shared" si="9"/>
        <v>#VALUE!</v>
      </c>
      <c r="AJ13" s="238"/>
      <c r="AK13" s="85">
        <f t="shared" ca="1" si="1"/>
        <v>46326</v>
      </c>
      <c r="AL13" s="229">
        <v>10</v>
      </c>
      <c r="AM13" s="230"/>
      <c r="AN13" s="86" t="e">
        <f t="shared" si="2"/>
        <v>#VALUE!</v>
      </c>
      <c r="AO13" s="87"/>
      <c r="AP13" s="231" t="e">
        <f t="shared" ca="1" si="3"/>
        <v>#VALUE!</v>
      </c>
      <c r="AQ13" s="232"/>
      <c r="AR13" s="233" t="e">
        <f t="shared" ca="1" si="4"/>
        <v>#VALUE!</v>
      </c>
      <c r="AS13" s="234"/>
      <c r="AT13" s="87" t="e">
        <f t="shared" ca="1" si="10"/>
        <v>#VALUE!</v>
      </c>
      <c r="AU13" s="75" t="e">
        <f t="shared" si="5"/>
        <v>#VALUE!</v>
      </c>
    </row>
    <row r="14" spans="1:50" ht="19.5" customHeight="1" thickBot="1" x14ac:dyDescent="0.4">
      <c r="A14" s="48"/>
      <c r="B14" s="272" t="s">
        <v>254</v>
      </c>
      <c r="C14" s="287"/>
      <c r="D14" s="273"/>
      <c r="E14" s="311">
        <f>IF(R33=0,"",R33)</f>
        <v>13.99</v>
      </c>
      <c r="F14" s="312"/>
      <c r="G14" s="170"/>
      <c r="H14" s="170"/>
      <c r="I14" s="170"/>
      <c r="J14" s="170"/>
      <c r="K14" s="170"/>
      <c r="L14" s="293"/>
      <c r="M14" s="294"/>
      <c r="N14" s="247"/>
      <c r="O14" s="98"/>
      <c r="R14" s="62" t="s">
        <v>172</v>
      </c>
      <c r="U14" s="62" t="s">
        <v>244</v>
      </c>
      <c r="V14" s="62">
        <f>IF(F8&gt;0,F8,N4)</f>
        <v>1020000</v>
      </c>
      <c r="X14" s="99" t="s">
        <v>255</v>
      </c>
      <c r="AA14" s="196" t="e">
        <f t="shared" si="0"/>
        <v>#VALUE!</v>
      </c>
      <c r="AB14" s="185">
        <f t="shared" ca="1" si="6"/>
        <v>46377</v>
      </c>
      <c r="AC14" s="229">
        <v>11</v>
      </c>
      <c r="AD14" s="230"/>
      <c r="AE14" s="83" t="e">
        <f t="shared" si="7"/>
        <v>#VALUE!</v>
      </c>
      <c r="AF14" s="84"/>
      <c r="AG14" s="235" t="e">
        <f t="shared" si="8"/>
        <v>#VALUE!</v>
      </c>
      <c r="AH14" s="236"/>
      <c r="AI14" s="237" t="e">
        <f t="shared" si="9"/>
        <v>#VALUE!</v>
      </c>
      <c r="AJ14" s="238"/>
      <c r="AK14" s="85">
        <f t="shared" ca="1" si="1"/>
        <v>46356</v>
      </c>
      <c r="AL14" s="229">
        <v>11</v>
      </c>
      <c r="AM14" s="230"/>
      <c r="AN14" s="86" t="e">
        <f t="shared" si="2"/>
        <v>#VALUE!</v>
      </c>
      <c r="AO14" s="87"/>
      <c r="AP14" s="231" t="e">
        <f t="shared" ca="1" si="3"/>
        <v>#VALUE!</v>
      </c>
      <c r="AQ14" s="232"/>
      <c r="AR14" s="233" t="e">
        <f t="shared" ca="1" si="4"/>
        <v>#VALUE!</v>
      </c>
      <c r="AS14" s="234"/>
      <c r="AT14" s="87" t="e">
        <f t="shared" ca="1" si="10"/>
        <v>#VALUE!</v>
      </c>
      <c r="AU14" s="75" t="e">
        <f t="shared" si="5"/>
        <v>#VALUE!</v>
      </c>
    </row>
    <row r="15" spans="1:50" ht="6.6" customHeight="1" thickBot="1" x14ac:dyDescent="0.4">
      <c r="A15" s="48"/>
      <c r="B15" s="173"/>
      <c r="C15" s="173"/>
      <c r="D15" s="173"/>
      <c r="E15" s="170"/>
      <c r="F15" s="170"/>
      <c r="G15" s="170"/>
      <c r="H15" s="170"/>
      <c r="I15" s="170"/>
      <c r="J15" s="171"/>
      <c r="K15" s="172"/>
      <c r="L15" s="173"/>
      <c r="M15" s="173"/>
      <c r="O15" s="62"/>
      <c r="Q15" s="62" t="s">
        <v>256</v>
      </c>
      <c r="R15" s="100">
        <f>$E$4-IF($X$4=1,$F$8,IF($X$4=2,$E$4/100*$F$10,0))+$N$8</f>
        <v>1669995</v>
      </c>
      <c r="S15" s="62" t="s">
        <v>257</v>
      </c>
      <c r="X15" s="101" t="s">
        <v>16</v>
      </c>
      <c r="AA15" s="196" t="str">
        <f>IFERROR(AI15+Z16,"-")</f>
        <v>-</v>
      </c>
      <c r="AB15" s="185">
        <f t="shared" ca="1" si="6"/>
        <v>46408</v>
      </c>
      <c r="AC15" s="229">
        <v>12</v>
      </c>
      <c r="AD15" s="230"/>
      <c r="AE15" s="83" t="e">
        <f t="shared" si="7"/>
        <v>#VALUE!</v>
      </c>
      <c r="AF15" s="84"/>
      <c r="AG15" s="235" t="e">
        <f t="shared" si="8"/>
        <v>#VALUE!</v>
      </c>
      <c r="AH15" s="236"/>
      <c r="AI15" s="237" t="e">
        <f t="shared" si="9"/>
        <v>#VALUE!</v>
      </c>
      <c r="AJ15" s="238"/>
      <c r="AK15" s="85">
        <f t="shared" ca="1" si="1"/>
        <v>46387</v>
      </c>
      <c r="AL15" s="229">
        <v>12</v>
      </c>
      <c r="AM15" s="230"/>
      <c r="AN15" s="86" t="e">
        <f t="shared" si="2"/>
        <v>#VALUE!</v>
      </c>
      <c r="AO15" s="87"/>
      <c r="AP15" s="231" t="e">
        <f t="shared" ca="1" si="3"/>
        <v>#VALUE!</v>
      </c>
      <c r="AQ15" s="232"/>
      <c r="AR15" s="233" t="e">
        <f t="shared" ca="1" si="4"/>
        <v>#VALUE!</v>
      </c>
      <c r="AS15" s="234"/>
      <c r="AT15" s="87" t="e">
        <f t="shared" ca="1" si="10"/>
        <v>#VALUE!</v>
      </c>
      <c r="AU15" s="75" t="e">
        <f t="shared" si="5"/>
        <v>#VALUE!</v>
      </c>
    </row>
    <row r="16" spans="1:50" ht="48" customHeight="1" thickBot="1" x14ac:dyDescent="0.4">
      <c r="A16" s="42"/>
      <c r="B16" s="301" t="s">
        <v>258</v>
      </c>
      <c r="C16" s="302"/>
      <c r="D16" s="303"/>
      <c r="E16" s="307" t="e">
        <f>R35</f>
        <v>#VALUE!</v>
      </c>
      <c r="F16" s="308"/>
      <c r="G16" s="170"/>
      <c r="H16" s="170"/>
      <c r="I16" s="170"/>
      <c r="J16" s="170"/>
      <c r="K16" s="170"/>
      <c r="L16" s="272" t="s">
        <v>259</v>
      </c>
      <c r="M16" s="287"/>
      <c r="N16" s="176">
        <f>R39</f>
        <v>106250</v>
      </c>
      <c r="Q16" s="209" t="s">
        <v>260</v>
      </c>
      <c r="R16" s="102">
        <f>$E$4-IF($X$4=1,$F$8,IF($X$4=2,$E$4/100*$F$10,0))+IF(N7="так",N6,0)+IF(N9="так",N8,0)</f>
        <v>1669995</v>
      </c>
      <c r="S16" s="210">
        <f>$E$4-IF($X$4=1,$F$8,IF($X$4=2,$E$4/100*$F$10,0))</f>
        <v>1530000</v>
      </c>
      <c r="Z16" s="116">
        <f>IF($V$26&gt;AC16,$E$4*0.9*5.49%,0)</f>
        <v>125995.50000000001</v>
      </c>
      <c r="AA16" s="196" t="e">
        <f t="shared" si="0"/>
        <v>#VALUE!</v>
      </c>
      <c r="AB16" s="185">
        <f t="shared" ca="1" si="6"/>
        <v>46439</v>
      </c>
      <c r="AC16" s="229">
        <v>13</v>
      </c>
      <c r="AD16" s="230"/>
      <c r="AE16" s="83" t="e">
        <f t="shared" si="7"/>
        <v>#VALUE!</v>
      </c>
      <c r="AF16" s="84"/>
      <c r="AG16" s="235" t="e">
        <f t="shared" si="8"/>
        <v>#VALUE!</v>
      </c>
      <c r="AH16" s="236"/>
      <c r="AI16" s="237" t="e">
        <f t="shared" si="9"/>
        <v>#VALUE!</v>
      </c>
      <c r="AJ16" s="238"/>
      <c r="AK16" s="85">
        <f t="shared" ca="1" si="1"/>
        <v>46418</v>
      </c>
      <c r="AL16" s="229">
        <v>13</v>
      </c>
      <c r="AM16" s="230"/>
      <c r="AN16" s="86" t="e">
        <f t="shared" si="2"/>
        <v>#VALUE!</v>
      </c>
      <c r="AO16" s="87"/>
      <c r="AP16" s="231" t="e">
        <f t="shared" ca="1" si="3"/>
        <v>#VALUE!</v>
      </c>
      <c r="AQ16" s="232"/>
      <c r="AR16" s="233" t="e">
        <f t="shared" ca="1" si="4"/>
        <v>#VALUE!</v>
      </c>
      <c r="AS16" s="234"/>
      <c r="AT16" s="87" t="e">
        <f t="shared" ca="1" si="10"/>
        <v>#VALUE!</v>
      </c>
      <c r="AU16" s="75" t="e">
        <f>AI16+AW16+AX16</f>
        <v>#VALUE!</v>
      </c>
      <c r="AW16" s="63">
        <f>IF($E$12&gt;$R$2,$E$4*0.9*5.5%,"")</f>
        <v>126225</v>
      </c>
      <c r="AX16" s="103" t="e">
        <f>IF(#REF!=0,0,IF($E$12&gt;$R$2,(AE90-SUM(AE4:AE15))*0.0299,""))</f>
        <v>#REF!</v>
      </c>
    </row>
    <row r="17" spans="1:50" ht="6" customHeight="1" thickBot="1" x14ac:dyDescent="0.4">
      <c r="A17" s="42"/>
      <c r="B17" s="304"/>
      <c r="C17" s="305"/>
      <c r="D17" s="306"/>
      <c r="E17" s="309"/>
      <c r="F17" s="310"/>
      <c r="G17" s="170"/>
      <c r="H17" s="170"/>
      <c r="I17" s="170"/>
      <c r="J17" s="170"/>
      <c r="K17" s="170"/>
      <c r="L17" s="170"/>
      <c r="M17" s="170"/>
      <c r="N17" s="170"/>
      <c r="O17" s="62"/>
      <c r="X17" s="104" t="s">
        <v>228</v>
      </c>
      <c r="AA17" s="196" t="e">
        <f t="shared" si="0"/>
        <v>#VALUE!</v>
      </c>
      <c r="AB17" s="185">
        <f t="shared" ca="1" si="6"/>
        <v>46467</v>
      </c>
      <c r="AC17" s="229">
        <v>14</v>
      </c>
      <c r="AD17" s="230"/>
      <c r="AE17" s="83" t="e">
        <f t="shared" si="7"/>
        <v>#VALUE!</v>
      </c>
      <c r="AF17" s="84"/>
      <c r="AG17" s="235" t="e">
        <f t="shared" si="8"/>
        <v>#VALUE!</v>
      </c>
      <c r="AH17" s="236"/>
      <c r="AI17" s="237" t="e">
        <f t="shared" si="9"/>
        <v>#VALUE!</v>
      </c>
      <c r="AJ17" s="238"/>
      <c r="AK17" s="85">
        <f t="shared" ca="1" si="1"/>
        <v>46446</v>
      </c>
      <c r="AL17" s="229">
        <v>14</v>
      </c>
      <c r="AM17" s="230"/>
      <c r="AN17" s="86" t="e">
        <f t="shared" si="2"/>
        <v>#VALUE!</v>
      </c>
      <c r="AO17" s="87"/>
      <c r="AP17" s="231" t="e">
        <f t="shared" ca="1" si="3"/>
        <v>#VALUE!</v>
      </c>
      <c r="AQ17" s="232"/>
      <c r="AR17" s="233" t="e">
        <f t="shared" ca="1" si="4"/>
        <v>#VALUE!</v>
      </c>
      <c r="AS17" s="234"/>
      <c r="AT17" s="87" t="e">
        <f t="shared" ca="1" si="10"/>
        <v>#VALUE!</v>
      </c>
      <c r="AU17" s="75" t="e">
        <f t="shared" si="5"/>
        <v>#VALUE!</v>
      </c>
    </row>
    <row r="18" spans="1:50" ht="8.25" customHeight="1" thickBot="1" x14ac:dyDescent="0.4">
      <c r="A18" s="48"/>
      <c r="B18" s="173"/>
      <c r="C18" s="173"/>
      <c r="D18" s="173"/>
      <c r="E18" s="170"/>
      <c r="F18" s="170"/>
      <c r="G18" s="170"/>
      <c r="H18" s="170"/>
      <c r="I18" s="170"/>
      <c r="J18" s="170"/>
      <c r="K18" s="170"/>
      <c r="L18" s="295" t="s">
        <v>261</v>
      </c>
      <c r="M18" s="296"/>
      <c r="N18" s="244" t="e">
        <f>AE88+N21</f>
        <v>#VALUE!</v>
      </c>
      <c r="O18" s="62"/>
      <c r="U18" s="105"/>
      <c r="V18" s="105"/>
      <c r="X18" s="106" t="e">
        <f>IF(OR(#REF!=S28,#REF!=S31),"Класична","")</f>
        <v>#REF!</v>
      </c>
      <c r="AA18" s="196" t="e">
        <f t="shared" si="0"/>
        <v>#VALUE!</v>
      </c>
      <c r="AB18" s="185">
        <f t="shared" ca="1" si="6"/>
        <v>46498</v>
      </c>
      <c r="AC18" s="229">
        <v>15</v>
      </c>
      <c r="AD18" s="230"/>
      <c r="AE18" s="83" t="e">
        <f t="shared" si="7"/>
        <v>#VALUE!</v>
      </c>
      <c r="AF18" s="84"/>
      <c r="AG18" s="235" t="e">
        <f t="shared" si="8"/>
        <v>#VALUE!</v>
      </c>
      <c r="AH18" s="236"/>
      <c r="AI18" s="237" t="e">
        <f t="shared" si="9"/>
        <v>#VALUE!</v>
      </c>
      <c r="AJ18" s="238"/>
      <c r="AK18" s="85">
        <f t="shared" ca="1" si="1"/>
        <v>46477</v>
      </c>
      <c r="AL18" s="229">
        <v>15</v>
      </c>
      <c r="AM18" s="230"/>
      <c r="AN18" s="86" t="e">
        <f t="shared" si="2"/>
        <v>#VALUE!</v>
      </c>
      <c r="AO18" s="87"/>
      <c r="AP18" s="231" t="e">
        <f t="shared" ca="1" si="3"/>
        <v>#VALUE!</v>
      </c>
      <c r="AQ18" s="232"/>
      <c r="AR18" s="233" t="e">
        <f t="shared" ca="1" si="4"/>
        <v>#VALUE!</v>
      </c>
      <c r="AS18" s="234"/>
      <c r="AT18" s="87" t="e">
        <f t="shared" ca="1" si="10"/>
        <v>#VALUE!</v>
      </c>
      <c r="AU18" s="75" t="e">
        <f t="shared" si="5"/>
        <v>#VALUE!</v>
      </c>
    </row>
    <row r="19" spans="1:50" ht="52.35" customHeight="1" thickBot="1" x14ac:dyDescent="0.4">
      <c r="A19" s="45"/>
      <c r="B19" s="239" t="s">
        <v>262</v>
      </c>
      <c r="C19" s="240"/>
      <c r="D19" s="241"/>
      <c r="E19" s="242" t="e">
        <f ca="1">IF(OR(F10&gt;80,AND(F8&gt;0,N4&gt;80%,X4&lt;&gt;3)),"Для уточнення інформації звертайтесь на відділення",R41)</f>
        <v>#VALUE!</v>
      </c>
      <c r="F19" s="243"/>
      <c r="G19" s="170"/>
      <c r="H19" s="170"/>
      <c r="I19" s="170"/>
      <c r="J19" s="170"/>
      <c r="K19" s="170"/>
      <c r="L19" s="297"/>
      <c r="M19" s="298"/>
      <c r="N19" s="245"/>
      <c r="O19" s="62"/>
      <c r="R19" s="67" t="s">
        <v>263</v>
      </c>
      <c r="T19" s="107"/>
      <c r="U19" s="62" t="s">
        <v>264</v>
      </c>
      <c r="V19" s="108">
        <f ca="1">TODAY()</f>
        <v>46043</v>
      </c>
      <c r="X19" s="109">
        <v>1</v>
      </c>
      <c r="Y19" s="92">
        <v>31</v>
      </c>
      <c r="AA19" s="196" t="e">
        <f t="shared" si="0"/>
        <v>#VALUE!</v>
      </c>
      <c r="AB19" s="185">
        <f t="shared" ca="1" si="6"/>
        <v>46528</v>
      </c>
      <c r="AC19" s="229">
        <v>16</v>
      </c>
      <c r="AD19" s="230"/>
      <c r="AE19" s="83" t="e">
        <f t="shared" si="7"/>
        <v>#VALUE!</v>
      </c>
      <c r="AF19" s="84"/>
      <c r="AG19" s="235" t="e">
        <f t="shared" si="8"/>
        <v>#VALUE!</v>
      </c>
      <c r="AH19" s="236"/>
      <c r="AI19" s="237" t="e">
        <f t="shared" si="9"/>
        <v>#VALUE!</v>
      </c>
      <c r="AJ19" s="238"/>
      <c r="AK19" s="85">
        <f t="shared" ca="1" si="1"/>
        <v>46507</v>
      </c>
      <c r="AL19" s="229">
        <v>16</v>
      </c>
      <c r="AM19" s="230"/>
      <c r="AN19" s="86" t="e">
        <f t="shared" si="2"/>
        <v>#VALUE!</v>
      </c>
      <c r="AO19" s="87"/>
      <c r="AP19" s="231" t="e">
        <f t="shared" ca="1" si="3"/>
        <v>#VALUE!</v>
      </c>
      <c r="AQ19" s="232"/>
      <c r="AR19" s="233" t="e">
        <f t="shared" ca="1" si="4"/>
        <v>#VALUE!</v>
      </c>
      <c r="AS19" s="234"/>
      <c r="AT19" s="87" t="e">
        <f t="shared" ca="1" si="10"/>
        <v>#VALUE!</v>
      </c>
      <c r="AU19" s="75" t="e">
        <f t="shared" si="5"/>
        <v>#VALUE!</v>
      </c>
    </row>
    <row r="20" spans="1:50" ht="10.35"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21</v>
      </c>
      <c r="X20" s="92">
        <v>2</v>
      </c>
      <c r="Y20" s="92">
        <v>28</v>
      </c>
      <c r="AA20" s="196" t="e">
        <f t="shared" si="0"/>
        <v>#VALUE!</v>
      </c>
      <c r="AB20" s="185">
        <f t="shared" ca="1" si="6"/>
        <v>46559</v>
      </c>
      <c r="AC20" s="229">
        <v>17</v>
      </c>
      <c r="AD20" s="230"/>
      <c r="AE20" s="83" t="e">
        <f t="shared" si="7"/>
        <v>#VALUE!</v>
      </c>
      <c r="AF20" s="84"/>
      <c r="AG20" s="235" t="e">
        <f t="shared" si="8"/>
        <v>#VALUE!</v>
      </c>
      <c r="AH20" s="236"/>
      <c r="AI20" s="237" t="e">
        <f t="shared" si="9"/>
        <v>#VALUE!</v>
      </c>
      <c r="AJ20" s="238"/>
      <c r="AK20" s="85">
        <f t="shared" ca="1" si="1"/>
        <v>46538</v>
      </c>
      <c r="AL20" s="229">
        <v>17</v>
      </c>
      <c r="AM20" s="230"/>
      <c r="AN20" s="86" t="e">
        <f t="shared" si="2"/>
        <v>#VALUE!</v>
      </c>
      <c r="AO20" s="87"/>
      <c r="AP20" s="231" t="e">
        <f t="shared" ca="1" si="3"/>
        <v>#VALUE!</v>
      </c>
      <c r="AQ20" s="232"/>
      <c r="AR20" s="233" t="e">
        <f t="shared" ca="1" si="4"/>
        <v>#VALUE!</v>
      </c>
      <c r="AS20" s="234"/>
      <c r="AT20" s="87" t="e">
        <f t="shared" ca="1" si="10"/>
        <v>#VALUE!</v>
      </c>
      <c r="AU20" s="75" t="e">
        <f t="shared" si="5"/>
        <v>#VALUE!</v>
      </c>
    </row>
    <row r="21" spans="1:50" ht="33" customHeight="1" thickBot="1" x14ac:dyDescent="0.35">
      <c r="A21" s="147"/>
      <c r="B21" s="239" t="s">
        <v>266</v>
      </c>
      <c r="C21" s="240"/>
      <c r="D21" s="241"/>
      <c r="E21" s="315">
        <f>IF(X4=2,N4,F8)+P2+P4+N16</f>
        <v>1142782.9505</v>
      </c>
      <c r="F21" s="316"/>
      <c r="G21" s="118"/>
      <c r="H21" s="118"/>
      <c r="I21" s="118"/>
      <c r="J21" s="118"/>
      <c r="K21" s="118"/>
      <c r="L21" s="299" t="s">
        <v>267</v>
      </c>
      <c r="M21" s="300"/>
      <c r="N21" s="203" t="e">
        <f>N13+SUM(R36:R40)+Z3</f>
        <v>#VALUE!</v>
      </c>
      <c r="O21" s="62"/>
      <c r="U21" s="114" t="s">
        <v>237</v>
      </c>
      <c r="V21" s="115">
        <f ca="1">MONTH(V19)</f>
        <v>1</v>
      </c>
      <c r="X21" s="92">
        <v>3</v>
      </c>
      <c r="Y21" s="92">
        <v>31</v>
      </c>
      <c r="AA21" s="196" t="e">
        <f t="shared" si="0"/>
        <v>#VALUE!</v>
      </c>
      <c r="AB21" s="185">
        <f t="shared" ca="1" si="6"/>
        <v>46589</v>
      </c>
      <c r="AC21" s="229">
        <v>18</v>
      </c>
      <c r="AD21" s="230"/>
      <c r="AE21" s="83" t="e">
        <f t="shared" si="7"/>
        <v>#VALUE!</v>
      </c>
      <c r="AF21" s="84"/>
      <c r="AG21" s="235" t="e">
        <f t="shared" si="8"/>
        <v>#VALUE!</v>
      </c>
      <c r="AH21" s="236"/>
      <c r="AI21" s="237" t="e">
        <f t="shared" si="9"/>
        <v>#VALUE!</v>
      </c>
      <c r="AJ21" s="238"/>
      <c r="AK21" s="85">
        <f t="shared" ca="1" si="1"/>
        <v>46568</v>
      </c>
      <c r="AL21" s="229">
        <v>18</v>
      </c>
      <c r="AM21" s="230"/>
      <c r="AN21" s="86" t="e">
        <f t="shared" si="2"/>
        <v>#VALUE!</v>
      </c>
      <c r="AO21" s="87"/>
      <c r="AP21" s="231" t="e">
        <f t="shared" ca="1" si="3"/>
        <v>#VALUE!</v>
      </c>
      <c r="AQ21" s="232"/>
      <c r="AR21" s="233" t="e">
        <f t="shared" ca="1" si="4"/>
        <v>#VALUE!</v>
      </c>
      <c r="AS21" s="234"/>
      <c r="AT21" s="87" t="e">
        <f t="shared" ca="1" si="10"/>
        <v>#VALUE!</v>
      </c>
      <c r="AU21" s="75" t="e">
        <f t="shared" si="5"/>
        <v>#VALUE!</v>
      </c>
    </row>
    <row r="22" spans="1:50" ht="72" customHeight="1" thickBot="1" x14ac:dyDescent="0.35">
      <c r="A22" s="61"/>
      <c r="B22" s="330" t="s">
        <v>268</v>
      </c>
      <c r="C22" s="330"/>
      <c r="D22" s="330"/>
      <c r="E22" s="330"/>
      <c r="F22" s="330"/>
      <c r="G22" s="330"/>
      <c r="H22" s="330"/>
      <c r="I22" s="330"/>
      <c r="J22" s="330"/>
      <c r="K22" s="330"/>
      <c r="L22" s="330"/>
      <c r="M22" s="330"/>
      <c r="N22" s="330"/>
      <c r="O22" s="62"/>
      <c r="U22" s="116" t="s">
        <v>269</v>
      </c>
      <c r="V22" s="117">
        <v>1200000</v>
      </c>
      <c r="X22" s="92">
        <v>4</v>
      </c>
      <c r="Y22" s="92">
        <v>30</v>
      </c>
      <c r="AA22" s="196" t="e">
        <f t="shared" si="0"/>
        <v>#VALUE!</v>
      </c>
      <c r="AB22" s="185">
        <f t="shared" ca="1" si="6"/>
        <v>46620</v>
      </c>
      <c r="AC22" s="229">
        <v>19</v>
      </c>
      <c r="AD22" s="230"/>
      <c r="AE22" s="83" t="e">
        <f t="shared" si="7"/>
        <v>#VALUE!</v>
      </c>
      <c r="AF22" s="84"/>
      <c r="AG22" s="235" t="e">
        <f t="shared" si="8"/>
        <v>#VALUE!</v>
      </c>
      <c r="AH22" s="236"/>
      <c r="AI22" s="237" t="e">
        <f t="shared" si="9"/>
        <v>#VALUE!</v>
      </c>
      <c r="AJ22" s="238"/>
      <c r="AK22" s="85">
        <f t="shared" ca="1" si="1"/>
        <v>46599</v>
      </c>
      <c r="AL22" s="229">
        <v>19</v>
      </c>
      <c r="AM22" s="230"/>
      <c r="AN22" s="86" t="e">
        <f t="shared" si="2"/>
        <v>#VALUE!</v>
      </c>
      <c r="AO22" s="87"/>
      <c r="AP22" s="231" t="e">
        <f t="shared" ca="1" si="3"/>
        <v>#VALUE!</v>
      </c>
      <c r="AQ22" s="232"/>
      <c r="AR22" s="233" t="e">
        <f t="shared" ca="1" si="4"/>
        <v>#VALUE!</v>
      </c>
      <c r="AS22" s="234"/>
      <c r="AT22" s="87" t="e">
        <f t="shared" ca="1" si="10"/>
        <v>#VALUE!</v>
      </c>
      <c r="AU22" s="75" t="e">
        <f t="shared" si="5"/>
        <v>#VALUE!</v>
      </c>
    </row>
    <row r="23" spans="1:50" ht="14.1" customHeight="1" thickBot="1" x14ac:dyDescent="0.35">
      <c r="A23" s="43"/>
      <c r="B23" s="314" t="s">
        <v>182</v>
      </c>
      <c r="C23" s="314"/>
      <c r="D23" s="204" t="s">
        <v>184</v>
      </c>
      <c r="E23" s="313" t="s">
        <v>185</v>
      </c>
      <c r="F23" s="313"/>
      <c r="G23" s="290" t="s">
        <v>270</v>
      </c>
      <c r="H23" s="290"/>
      <c r="I23" s="202"/>
      <c r="J23" s="61"/>
      <c r="K23" s="61"/>
      <c r="L23" s="61"/>
      <c r="M23" s="61"/>
      <c r="N23" s="61"/>
      <c r="O23" s="62"/>
      <c r="U23" s="119" t="s">
        <v>271</v>
      </c>
      <c r="V23" s="120">
        <f>IF(X4=1,F8/E4*100,IF(X4=2,F10,0))</f>
        <v>40</v>
      </c>
      <c r="X23" s="92">
        <v>5</v>
      </c>
      <c r="Y23" s="92">
        <v>31</v>
      </c>
      <c r="AA23" s="196" t="e">
        <f t="shared" si="0"/>
        <v>#VALUE!</v>
      </c>
      <c r="AB23" s="185">
        <f t="shared" ca="1" si="6"/>
        <v>46651</v>
      </c>
      <c r="AC23" s="229">
        <v>20</v>
      </c>
      <c r="AD23" s="230"/>
      <c r="AE23" s="83" t="e">
        <f t="shared" si="7"/>
        <v>#VALUE!</v>
      </c>
      <c r="AF23" s="84"/>
      <c r="AG23" s="235" t="e">
        <f t="shared" si="8"/>
        <v>#VALUE!</v>
      </c>
      <c r="AH23" s="236"/>
      <c r="AI23" s="237" t="e">
        <f t="shared" si="9"/>
        <v>#VALUE!</v>
      </c>
      <c r="AJ23" s="238"/>
      <c r="AK23" s="85">
        <f t="shared" ca="1" si="1"/>
        <v>46630</v>
      </c>
      <c r="AL23" s="229">
        <v>20</v>
      </c>
      <c r="AM23" s="230"/>
      <c r="AN23" s="86" t="e">
        <f t="shared" si="2"/>
        <v>#VALUE!</v>
      </c>
      <c r="AO23" s="87"/>
      <c r="AP23" s="231" t="e">
        <f t="shared" ca="1" si="3"/>
        <v>#VALUE!</v>
      </c>
      <c r="AQ23" s="232"/>
      <c r="AR23" s="233" t="e">
        <f t="shared" ca="1" si="4"/>
        <v>#VALUE!</v>
      </c>
      <c r="AS23" s="234"/>
      <c r="AT23" s="87" t="e">
        <f t="shared" ca="1" si="10"/>
        <v>#VALUE!</v>
      </c>
      <c r="AU23" s="75" t="e">
        <f t="shared" si="5"/>
        <v>#VALUE!</v>
      </c>
    </row>
    <row r="24" spans="1:50" ht="14.1" customHeight="1" thickBot="1" x14ac:dyDescent="0.35">
      <c r="A24" s="43"/>
      <c r="B24" s="215">
        <v>1</v>
      </c>
      <c r="C24" s="215"/>
      <c r="D24" s="205" t="e">
        <f t="shared" ref="D24:D35" si="11">AE4</f>
        <v>#VALUE!</v>
      </c>
      <c r="E24" s="216" t="e">
        <f t="shared" ref="E24:E35" si="12">AG4</f>
        <v>#VALUE!</v>
      </c>
      <c r="F24" s="216"/>
      <c r="G24" s="216" t="e">
        <f t="shared" ref="G24:G35" si="13">AI4</f>
        <v>#VALUE!</v>
      </c>
      <c r="H24" s="216"/>
      <c r="I24" s="202"/>
      <c r="J24" s="61"/>
      <c r="K24" s="61"/>
      <c r="L24" s="61"/>
      <c r="M24" s="61"/>
      <c r="N24" s="61"/>
      <c r="O24" s="62"/>
      <c r="Q24" s="121">
        <f ca="1">TODAY()</f>
        <v>46043</v>
      </c>
      <c r="R24" s="122" t="s">
        <v>264</v>
      </c>
      <c r="S24" s="122" t="s">
        <v>272</v>
      </c>
      <c r="X24" s="92"/>
      <c r="Y24" s="92"/>
      <c r="AA24" s="196" t="e">
        <f t="shared" si="0"/>
        <v>#VALUE!</v>
      </c>
      <c r="AB24" s="185">
        <f t="shared" ca="1" si="6"/>
        <v>46681</v>
      </c>
      <c r="AC24" s="229">
        <v>21</v>
      </c>
      <c r="AD24" s="230"/>
      <c r="AE24" s="83" t="e">
        <f t="shared" si="7"/>
        <v>#VALUE!</v>
      </c>
      <c r="AF24" s="84"/>
      <c r="AG24" s="235" t="e">
        <f t="shared" si="8"/>
        <v>#VALUE!</v>
      </c>
      <c r="AH24" s="236"/>
      <c r="AI24" s="237" t="e">
        <f t="shared" si="9"/>
        <v>#VALUE!</v>
      </c>
      <c r="AJ24" s="238"/>
      <c r="AK24" s="85">
        <f t="shared" ca="1" si="1"/>
        <v>46660</v>
      </c>
      <c r="AL24" s="229">
        <v>21</v>
      </c>
      <c r="AM24" s="230"/>
      <c r="AN24" s="86" t="e">
        <f t="shared" si="2"/>
        <v>#VALUE!</v>
      </c>
      <c r="AO24" s="87"/>
      <c r="AP24" s="231" t="e">
        <f t="shared" ca="1" si="3"/>
        <v>#VALUE!</v>
      </c>
      <c r="AQ24" s="232"/>
      <c r="AR24" s="233" t="e">
        <f t="shared" ca="1" si="4"/>
        <v>#VALUE!</v>
      </c>
      <c r="AS24" s="234"/>
      <c r="AT24" s="87" t="e">
        <f t="shared" ca="1" si="10"/>
        <v>#VALUE!</v>
      </c>
      <c r="AU24" s="75" t="e">
        <f t="shared" si="5"/>
        <v>#VALUE!</v>
      </c>
    </row>
    <row r="25" spans="1:50" ht="14.1" customHeight="1" thickBot="1" x14ac:dyDescent="0.35">
      <c r="A25" s="43"/>
      <c r="B25" s="215">
        <v>2</v>
      </c>
      <c r="C25" s="215"/>
      <c r="D25" s="205" t="e">
        <f t="shared" si="11"/>
        <v>#VALUE!</v>
      </c>
      <c r="E25" s="216" t="e">
        <f t="shared" si="12"/>
        <v>#VALUE!</v>
      </c>
      <c r="F25" s="216"/>
      <c r="G25" s="216" t="e">
        <f t="shared" si="13"/>
        <v>#VALUE!</v>
      </c>
      <c r="H25" s="216"/>
      <c r="I25" s="202"/>
      <c r="J25" s="61"/>
      <c r="K25" s="61"/>
      <c r="L25" s="61"/>
      <c r="M25" s="61"/>
      <c r="N25" s="61"/>
      <c r="O25" s="62"/>
      <c r="Q25" s="122">
        <f ca="1">IF(Q24&lt;R26,S25,IF(Q24&lt;R27,S26,S27))</f>
        <v>2270</v>
      </c>
      <c r="R25" s="121">
        <v>43831</v>
      </c>
      <c r="S25" s="122">
        <v>2102</v>
      </c>
      <c r="T25" s="123"/>
      <c r="U25" s="111" t="s">
        <v>273</v>
      </c>
      <c r="V25" s="108">
        <f ca="1">EDATE(V19,V26)-1</f>
        <v>47868</v>
      </c>
      <c r="W25" s="124"/>
      <c r="X25" s="92">
        <v>6</v>
      </c>
      <c r="Y25" s="92">
        <v>30</v>
      </c>
      <c r="AA25" s="196" t="e">
        <f t="shared" si="0"/>
        <v>#VALUE!</v>
      </c>
      <c r="AB25" s="185">
        <f t="shared" ca="1" si="6"/>
        <v>46712</v>
      </c>
      <c r="AC25" s="229">
        <v>22</v>
      </c>
      <c r="AD25" s="230"/>
      <c r="AE25" s="83" t="e">
        <f t="shared" si="7"/>
        <v>#VALUE!</v>
      </c>
      <c r="AF25" s="84"/>
      <c r="AG25" s="235" t="e">
        <f t="shared" si="8"/>
        <v>#VALUE!</v>
      </c>
      <c r="AH25" s="236"/>
      <c r="AI25" s="237" t="e">
        <f t="shared" si="9"/>
        <v>#VALUE!</v>
      </c>
      <c r="AJ25" s="238"/>
      <c r="AK25" s="85">
        <f t="shared" ca="1" si="1"/>
        <v>46691</v>
      </c>
      <c r="AL25" s="229">
        <v>22</v>
      </c>
      <c r="AM25" s="230"/>
      <c r="AN25" s="86" t="e">
        <f t="shared" si="2"/>
        <v>#VALUE!</v>
      </c>
      <c r="AO25" s="87"/>
      <c r="AP25" s="231" t="e">
        <f t="shared" ca="1" si="3"/>
        <v>#VALUE!</v>
      </c>
      <c r="AQ25" s="232"/>
      <c r="AR25" s="233" t="e">
        <f t="shared" ca="1" si="4"/>
        <v>#VALUE!</v>
      </c>
      <c r="AS25" s="234"/>
      <c r="AT25" s="87" t="e">
        <f t="shared" ca="1" si="10"/>
        <v>#VALUE!</v>
      </c>
      <c r="AU25" s="75" t="e">
        <f t="shared" si="5"/>
        <v>#VALUE!</v>
      </c>
    </row>
    <row r="26" spans="1:50" ht="14.1" customHeight="1" thickBot="1" x14ac:dyDescent="0.35">
      <c r="A26" s="43"/>
      <c r="B26" s="215">
        <v>3</v>
      </c>
      <c r="C26" s="215"/>
      <c r="D26" s="205" t="e">
        <f t="shared" si="11"/>
        <v>#VALUE!</v>
      </c>
      <c r="E26" s="216" t="e">
        <f t="shared" si="12"/>
        <v>#VALUE!</v>
      </c>
      <c r="F26" s="216"/>
      <c r="G26" s="216" t="e">
        <f t="shared" si="13"/>
        <v>#VALUE!</v>
      </c>
      <c r="H26" s="216"/>
      <c r="I26" s="202"/>
      <c r="J26" s="53"/>
      <c r="K26" s="54"/>
      <c r="L26" s="54"/>
      <c r="M26" s="54"/>
      <c r="N26" s="54"/>
      <c r="O26" s="125"/>
      <c r="Q26" s="122"/>
      <c r="R26" s="121">
        <v>44013</v>
      </c>
      <c r="S26" s="122">
        <v>2197</v>
      </c>
      <c r="T26" s="123"/>
      <c r="U26" s="115" t="s">
        <v>274</v>
      </c>
      <c r="V26" s="115">
        <f>E12</f>
        <v>60</v>
      </c>
      <c r="W26" s="124"/>
      <c r="X26" s="92">
        <v>7</v>
      </c>
      <c r="Y26" s="92">
        <v>31</v>
      </c>
      <c r="AA26" s="196" t="e">
        <f t="shared" si="0"/>
        <v>#VALUE!</v>
      </c>
      <c r="AB26" s="185">
        <f t="shared" ca="1" si="6"/>
        <v>46742</v>
      </c>
      <c r="AC26" s="229">
        <f>AC25+1</f>
        <v>23</v>
      </c>
      <c r="AD26" s="230"/>
      <c r="AE26" s="83" t="e">
        <f t="shared" si="7"/>
        <v>#VALUE!</v>
      </c>
      <c r="AF26" s="84"/>
      <c r="AG26" s="235" t="e">
        <f t="shared" si="8"/>
        <v>#VALUE!</v>
      </c>
      <c r="AH26" s="236"/>
      <c r="AI26" s="237" t="e">
        <f t="shared" si="9"/>
        <v>#VALUE!</v>
      </c>
      <c r="AJ26" s="238"/>
      <c r="AK26" s="85">
        <f t="shared" ca="1" si="1"/>
        <v>46721</v>
      </c>
      <c r="AL26" s="229">
        <v>23</v>
      </c>
      <c r="AM26" s="230"/>
      <c r="AN26" s="86" t="e">
        <f t="shared" si="2"/>
        <v>#VALUE!</v>
      </c>
      <c r="AO26" s="87"/>
      <c r="AP26" s="231" t="e">
        <f t="shared" ca="1" si="3"/>
        <v>#VALUE!</v>
      </c>
      <c r="AQ26" s="232"/>
      <c r="AR26" s="233" t="e">
        <f t="shared" ca="1" si="4"/>
        <v>#VALUE!</v>
      </c>
      <c r="AS26" s="234"/>
      <c r="AT26" s="87" t="e">
        <f t="shared" ca="1" si="10"/>
        <v>#VALUE!</v>
      </c>
      <c r="AU26" s="75" t="e">
        <f t="shared" si="5"/>
        <v>#VALUE!</v>
      </c>
    </row>
    <row r="27" spans="1:50" ht="14.1" customHeight="1" x14ac:dyDescent="0.3">
      <c r="A27" s="43"/>
      <c r="B27" s="215">
        <v>4</v>
      </c>
      <c r="C27" s="215"/>
      <c r="D27" s="205" t="e">
        <f t="shared" si="11"/>
        <v>#VALUE!</v>
      </c>
      <c r="E27" s="216" t="e">
        <f t="shared" si="12"/>
        <v>#VALUE!</v>
      </c>
      <c r="F27" s="216"/>
      <c r="G27" s="216" t="e">
        <f t="shared" si="13"/>
        <v>#VALUE!</v>
      </c>
      <c r="H27" s="216"/>
      <c r="I27" s="202"/>
      <c r="J27" s="53"/>
      <c r="K27" s="54"/>
      <c r="L27" s="54"/>
      <c r="M27" s="54"/>
      <c r="N27" s="54"/>
      <c r="O27" s="125"/>
      <c r="Q27" s="122"/>
      <c r="R27" s="121">
        <v>44166</v>
      </c>
      <c r="S27" s="122">
        <v>2270</v>
      </c>
      <c r="T27" s="123"/>
      <c r="U27" s="123"/>
      <c r="V27" s="123"/>
      <c r="W27" s="124"/>
      <c r="X27" s="92">
        <v>8</v>
      </c>
      <c r="Y27" s="92">
        <v>31</v>
      </c>
      <c r="AA27" s="196" t="str">
        <f>IFERROR(AI27+Z28,"-")</f>
        <v>-</v>
      </c>
      <c r="AB27" s="185">
        <f t="shared" ca="1" si="6"/>
        <v>46773</v>
      </c>
      <c r="AC27" s="229">
        <f>AC26+1</f>
        <v>24</v>
      </c>
      <c r="AD27" s="230"/>
      <c r="AE27" s="83" t="e">
        <f t="shared" si="7"/>
        <v>#VALUE!</v>
      </c>
      <c r="AF27" s="84"/>
      <c r="AG27" s="235" t="e">
        <f t="shared" si="8"/>
        <v>#VALUE!</v>
      </c>
      <c r="AH27" s="236"/>
      <c r="AI27" s="237" t="e">
        <f t="shared" si="9"/>
        <v>#VALUE!</v>
      </c>
      <c r="AJ27" s="238"/>
      <c r="AK27" s="85">
        <f t="shared" ca="1" si="1"/>
        <v>46752</v>
      </c>
      <c r="AL27" s="229">
        <v>24</v>
      </c>
      <c r="AM27" s="230"/>
      <c r="AN27" s="86" t="e">
        <f t="shared" si="2"/>
        <v>#VALUE!</v>
      </c>
      <c r="AO27" s="87"/>
      <c r="AP27" s="231" t="e">
        <f t="shared" ca="1" si="3"/>
        <v>#VALUE!</v>
      </c>
      <c r="AQ27" s="232"/>
      <c r="AR27" s="233" t="e">
        <f t="shared" ca="1" si="4"/>
        <v>#VALUE!</v>
      </c>
      <c r="AS27" s="234"/>
      <c r="AT27" s="87" t="e">
        <f t="shared" ca="1" si="10"/>
        <v>#VALUE!</v>
      </c>
      <c r="AU27" s="75" t="e">
        <f t="shared" si="5"/>
        <v>#VALUE!</v>
      </c>
    </row>
    <row r="28" spans="1:50" ht="14.1" customHeight="1" x14ac:dyDescent="0.3">
      <c r="A28" s="43"/>
      <c r="B28" s="215">
        <v>5</v>
      </c>
      <c r="C28" s="215"/>
      <c r="D28" s="205" t="e">
        <f t="shared" si="11"/>
        <v>#VALUE!</v>
      </c>
      <c r="E28" s="216" t="e">
        <f t="shared" si="12"/>
        <v>#VALUE!</v>
      </c>
      <c r="F28" s="216"/>
      <c r="G28" s="216" t="e">
        <f t="shared" si="13"/>
        <v>#VALUE!</v>
      </c>
      <c r="H28" s="216"/>
      <c r="I28" s="202"/>
      <c r="J28" s="53"/>
      <c r="K28" s="54"/>
      <c r="L28" s="54"/>
      <c r="M28" s="54"/>
      <c r="N28" s="54"/>
      <c r="O28" s="125"/>
      <c r="R28" s="191">
        <v>45658</v>
      </c>
      <c r="S28" s="92">
        <v>3028</v>
      </c>
      <c r="T28" s="123"/>
      <c r="U28" s="123"/>
      <c r="V28" s="123"/>
      <c r="W28" s="124"/>
      <c r="X28" s="92">
        <v>9</v>
      </c>
      <c r="Y28" s="92">
        <v>30</v>
      </c>
      <c r="Z28" s="116">
        <f>IF($V$26&gt;AC28,$E$4*0.9*0.9*5.49%,0)</f>
        <v>113395.95000000001</v>
      </c>
      <c r="AA28" s="196" t="e">
        <f t="shared" si="0"/>
        <v>#VALUE!</v>
      </c>
      <c r="AB28" s="185">
        <f t="shared" ca="1" si="6"/>
        <v>46804</v>
      </c>
      <c r="AC28" s="229">
        <f t="shared" ref="AC28:AC78" si="14">AC27+1</f>
        <v>25</v>
      </c>
      <c r="AD28" s="230"/>
      <c r="AE28" s="83" t="e">
        <f t="shared" si="7"/>
        <v>#VALUE!</v>
      </c>
      <c r="AF28" s="84"/>
      <c r="AG28" s="235" t="e">
        <f t="shared" si="8"/>
        <v>#VALUE!</v>
      </c>
      <c r="AH28" s="236"/>
      <c r="AI28" s="237" t="e">
        <f t="shared" si="9"/>
        <v>#VALUE!</v>
      </c>
      <c r="AJ28" s="238"/>
      <c r="AK28" s="85">
        <f t="shared" ca="1" si="1"/>
        <v>46783</v>
      </c>
      <c r="AL28" s="229">
        <v>25</v>
      </c>
      <c r="AM28" s="230"/>
      <c r="AN28" s="86" t="e">
        <f t="shared" si="2"/>
        <v>#VALUE!</v>
      </c>
      <c r="AO28" s="87"/>
      <c r="AP28" s="231" t="e">
        <f t="shared" ca="1" si="3"/>
        <v>#VALUE!</v>
      </c>
      <c r="AQ28" s="232"/>
      <c r="AR28" s="233" t="e">
        <f t="shared" ca="1" si="4"/>
        <v>#VALUE!</v>
      </c>
      <c r="AS28" s="234"/>
      <c r="AT28" s="87" t="e">
        <f t="shared" ca="1" si="10"/>
        <v>#VALUE!</v>
      </c>
      <c r="AU28" s="75" t="e">
        <f>AI28+AW28+AX28</f>
        <v>#VALUE!</v>
      </c>
      <c r="AW28" s="63">
        <f>IF($E$12&gt;$R$3,$E$4*0.9*0.9*5.5%,"")</f>
        <v>113602.5</v>
      </c>
      <c r="AX28" s="63" t="e">
        <f>IF(#REF!=0,0,IF($E$12&gt;$R$3,(AE90-SUM(AE4:AE27))*0.0299,""))</f>
        <v>#REF!</v>
      </c>
    </row>
    <row r="29" spans="1:50" ht="14.1" customHeight="1" x14ac:dyDescent="0.3">
      <c r="A29" s="43"/>
      <c r="B29" s="215">
        <v>6</v>
      </c>
      <c r="C29" s="215"/>
      <c r="D29" s="205" t="e">
        <f t="shared" si="11"/>
        <v>#VALUE!</v>
      </c>
      <c r="E29" s="216" t="e">
        <f t="shared" si="12"/>
        <v>#VALUE!</v>
      </c>
      <c r="F29" s="216"/>
      <c r="G29" s="216" t="e">
        <f t="shared" si="13"/>
        <v>#VALUE!</v>
      </c>
      <c r="H29" s="216"/>
      <c r="I29" s="202"/>
      <c r="J29" s="53"/>
      <c r="K29" s="54"/>
      <c r="L29" s="54"/>
      <c r="M29" s="54"/>
      <c r="N29" s="54"/>
      <c r="O29" s="125"/>
      <c r="T29" s="123"/>
      <c r="U29" s="123"/>
      <c r="V29" s="123"/>
      <c r="W29" s="124"/>
      <c r="X29" s="92">
        <v>10</v>
      </c>
      <c r="Y29" s="92">
        <v>31</v>
      </c>
      <c r="AA29" s="196" t="e">
        <f t="shared" si="0"/>
        <v>#VALUE!</v>
      </c>
      <c r="AB29" s="185">
        <f t="shared" ca="1" si="6"/>
        <v>46833</v>
      </c>
      <c r="AC29" s="229">
        <f t="shared" si="14"/>
        <v>26</v>
      </c>
      <c r="AD29" s="230"/>
      <c r="AE29" s="83" t="e">
        <f t="shared" si="7"/>
        <v>#VALUE!</v>
      </c>
      <c r="AF29" s="84"/>
      <c r="AG29" s="235" t="e">
        <f t="shared" si="8"/>
        <v>#VALUE!</v>
      </c>
      <c r="AH29" s="236"/>
      <c r="AI29" s="237" t="e">
        <f t="shared" si="9"/>
        <v>#VALUE!</v>
      </c>
      <c r="AJ29" s="238"/>
      <c r="AK29" s="85">
        <f t="shared" ca="1" si="1"/>
        <v>46812</v>
      </c>
      <c r="AL29" s="229">
        <v>26</v>
      </c>
      <c r="AM29" s="230"/>
      <c r="AN29" s="86" t="e">
        <f t="shared" si="2"/>
        <v>#VALUE!</v>
      </c>
      <c r="AO29" s="87"/>
      <c r="AP29" s="231" t="e">
        <f t="shared" ca="1" si="3"/>
        <v>#VALUE!</v>
      </c>
      <c r="AQ29" s="232"/>
      <c r="AR29" s="233" t="e">
        <f t="shared" ca="1" si="4"/>
        <v>#VALUE!</v>
      </c>
      <c r="AS29" s="234"/>
      <c r="AT29" s="87" t="e">
        <f t="shared" ca="1" si="10"/>
        <v>#VALUE!</v>
      </c>
      <c r="AU29" s="75" t="e">
        <f t="shared" si="5"/>
        <v>#VALUE!</v>
      </c>
    </row>
    <row r="30" spans="1:50" ht="14.1" customHeight="1" x14ac:dyDescent="0.3">
      <c r="A30" s="43"/>
      <c r="B30" s="215">
        <v>7</v>
      </c>
      <c r="C30" s="215"/>
      <c r="D30" s="205" t="e">
        <f t="shared" si="11"/>
        <v>#VALUE!</v>
      </c>
      <c r="E30" s="216" t="e">
        <f t="shared" si="12"/>
        <v>#VALUE!</v>
      </c>
      <c r="F30" s="216"/>
      <c r="G30" s="216" t="e">
        <f t="shared" si="13"/>
        <v>#VALUE!</v>
      </c>
      <c r="H30" s="216"/>
      <c r="I30" s="202"/>
      <c r="J30" s="53"/>
      <c r="K30" s="54"/>
      <c r="L30" s="54"/>
      <c r="M30" s="50"/>
      <c r="N30" s="54"/>
      <c r="O30" s="125"/>
      <c r="T30" s="123"/>
      <c r="U30" s="123"/>
      <c r="V30" s="123"/>
      <c r="W30" s="124"/>
      <c r="X30" s="92">
        <v>11</v>
      </c>
      <c r="Y30" s="92">
        <v>30</v>
      </c>
      <c r="AA30" s="196" t="e">
        <f t="shared" si="0"/>
        <v>#VALUE!</v>
      </c>
      <c r="AB30" s="185">
        <f t="shared" ca="1" si="6"/>
        <v>46864</v>
      </c>
      <c r="AC30" s="229">
        <f t="shared" si="14"/>
        <v>27</v>
      </c>
      <c r="AD30" s="230"/>
      <c r="AE30" s="83" t="e">
        <f t="shared" si="7"/>
        <v>#VALUE!</v>
      </c>
      <c r="AF30" s="84"/>
      <c r="AG30" s="235" t="e">
        <f t="shared" si="8"/>
        <v>#VALUE!</v>
      </c>
      <c r="AH30" s="236"/>
      <c r="AI30" s="237" t="e">
        <f t="shared" si="9"/>
        <v>#VALUE!</v>
      </c>
      <c r="AJ30" s="238"/>
      <c r="AK30" s="85">
        <f t="shared" ca="1" si="1"/>
        <v>46843</v>
      </c>
      <c r="AL30" s="229">
        <v>27</v>
      </c>
      <c r="AM30" s="230"/>
      <c r="AN30" s="86" t="e">
        <f t="shared" si="2"/>
        <v>#VALUE!</v>
      </c>
      <c r="AO30" s="87"/>
      <c r="AP30" s="231" t="e">
        <f t="shared" ca="1" si="3"/>
        <v>#VALUE!</v>
      </c>
      <c r="AQ30" s="232"/>
      <c r="AR30" s="233" t="e">
        <f t="shared" ca="1" si="4"/>
        <v>#VALUE!</v>
      </c>
      <c r="AS30" s="234"/>
      <c r="AT30" s="87" t="e">
        <f t="shared" ca="1" si="10"/>
        <v>#VALUE!</v>
      </c>
      <c r="AU30" s="75" t="e">
        <f t="shared" si="5"/>
        <v>#VALUE!</v>
      </c>
    </row>
    <row r="31" spans="1:50" ht="14.1" customHeight="1" x14ac:dyDescent="0.3">
      <c r="A31" s="43"/>
      <c r="B31" s="215">
        <v>8</v>
      </c>
      <c r="C31" s="215"/>
      <c r="D31" s="205" t="e">
        <f t="shared" si="11"/>
        <v>#VALUE!</v>
      </c>
      <c r="E31" s="216" t="e">
        <f t="shared" si="12"/>
        <v>#VALUE!</v>
      </c>
      <c r="F31" s="216"/>
      <c r="G31" s="216" t="e">
        <f t="shared" si="13"/>
        <v>#VALUE!</v>
      </c>
      <c r="H31" s="216"/>
      <c r="I31" s="202"/>
      <c r="J31" s="53"/>
      <c r="K31" s="54"/>
      <c r="L31" s="54"/>
      <c r="M31" s="54"/>
      <c r="N31" s="54"/>
      <c r="O31" s="125"/>
      <c r="T31" s="123"/>
      <c r="U31" s="123"/>
      <c r="V31" s="123"/>
      <c r="W31" s="124"/>
      <c r="X31" s="92">
        <v>12</v>
      </c>
      <c r="Y31" s="92">
        <v>31</v>
      </c>
      <c r="AA31" s="196" t="e">
        <f t="shared" si="0"/>
        <v>#VALUE!</v>
      </c>
      <c r="AB31" s="185">
        <f t="shared" ca="1" si="6"/>
        <v>46894</v>
      </c>
      <c r="AC31" s="229">
        <f t="shared" si="14"/>
        <v>28</v>
      </c>
      <c r="AD31" s="230"/>
      <c r="AE31" s="83" t="e">
        <f t="shared" si="7"/>
        <v>#VALUE!</v>
      </c>
      <c r="AF31" s="84"/>
      <c r="AG31" s="235" t="e">
        <f t="shared" si="8"/>
        <v>#VALUE!</v>
      </c>
      <c r="AH31" s="236"/>
      <c r="AI31" s="237" t="e">
        <f t="shared" si="9"/>
        <v>#VALUE!</v>
      </c>
      <c r="AJ31" s="238"/>
      <c r="AK31" s="85">
        <f t="shared" ca="1" si="1"/>
        <v>46873</v>
      </c>
      <c r="AL31" s="229">
        <v>28</v>
      </c>
      <c r="AM31" s="230"/>
      <c r="AN31" s="86" t="e">
        <f t="shared" si="2"/>
        <v>#VALUE!</v>
      </c>
      <c r="AO31" s="87"/>
      <c r="AP31" s="231" t="e">
        <f t="shared" ca="1" si="3"/>
        <v>#VALUE!</v>
      </c>
      <c r="AQ31" s="232"/>
      <c r="AR31" s="233" t="e">
        <f t="shared" ca="1" si="4"/>
        <v>#VALUE!</v>
      </c>
      <c r="AS31" s="234"/>
      <c r="AT31" s="87" t="e">
        <f t="shared" ca="1" si="10"/>
        <v>#VALUE!</v>
      </c>
      <c r="AU31" s="75" t="e">
        <f t="shared" si="5"/>
        <v>#VALUE!</v>
      </c>
    </row>
    <row r="32" spans="1:50" ht="14.1" customHeight="1" x14ac:dyDescent="0.3">
      <c r="A32" s="43"/>
      <c r="B32" s="215">
        <v>9</v>
      </c>
      <c r="C32" s="215"/>
      <c r="D32" s="205" t="e">
        <f t="shared" si="11"/>
        <v>#VALUE!</v>
      </c>
      <c r="E32" s="216" t="e">
        <f t="shared" si="12"/>
        <v>#VALUE!</v>
      </c>
      <c r="F32" s="216"/>
      <c r="G32" s="216" t="e">
        <f t="shared" si="13"/>
        <v>#VALUE!</v>
      </c>
      <c r="H32" s="216"/>
      <c r="I32" s="202"/>
      <c r="J32" s="53"/>
      <c r="K32" s="54"/>
      <c r="L32" s="54"/>
      <c r="M32" s="54"/>
      <c r="N32" s="54"/>
      <c r="O32" s="125"/>
      <c r="Q32" s="126" t="s">
        <v>249</v>
      </c>
      <c r="R32" s="127" t="s">
        <v>275</v>
      </c>
      <c r="S32" s="188" t="s">
        <v>276</v>
      </c>
      <c r="T32" s="188" t="s">
        <v>229</v>
      </c>
      <c r="U32" s="187" t="s">
        <v>277</v>
      </c>
      <c r="V32" s="123"/>
      <c r="W32" s="124"/>
      <c r="AA32" s="196" t="e">
        <f t="shared" si="0"/>
        <v>#VALUE!</v>
      </c>
      <c r="AB32" s="185">
        <f t="shared" ca="1" si="6"/>
        <v>46925</v>
      </c>
      <c r="AC32" s="229">
        <f t="shared" si="14"/>
        <v>29</v>
      </c>
      <c r="AD32" s="230"/>
      <c r="AE32" s="83" t="e">
        <f t="shared" si="7"/>
        <v>#VALUE!</v>
      </c>
      <c r="AF32" s="84"/>
      <c r="AG32" s="235" t="e">
        <f t="shared" si="8"/>
        <v>#VALUE!</v>
      </c>
      <c r="AH32" s="236"/>
      <c r="AI32" s="237" t="e">
        <f t="shared" si="9"/>
        <v>#VALUE!</v>
      </c>
      <c r="AJ32" s="238"/>
      <c r="AK32" s="85">
        <f t="shared" ca="1" si="1"/>
        <v>46904</v>
      </c>
      <c r="AL32" s="229">
        <v>29</v>
      </c>
      <c r="AM32" s="230"/>
      <c r="AN32" s="86" t="e">
        <f t="shared" si="2"/>
        <v>#VALUE!</v>
      </c>
      <c r="AO32" s="87"/>
      <c r="AP32" s="231" t="e">
        <f t="shared" ca="1" si="3"/>
        <v>#VALUE!</v>
      </c>
      <c r="AQ32" s="232"/>
      <c r="AR32" s="233" t="e">
        <f t="shared" ca="1" si="4"/>
        <v>#VALUE!</v>
      </c>
      <c r="AS32" s="234"/>
      <c r="AT32" s="87" t="e">
        <f t="shared" ca="1" si="10"/>
        <v>#VALUE!</v>
      </c>
      <c r="AU32" s="75" t="e">
        <f t="shared" si="5"/>
        <v>#VALUE!</v>
      </c>
    </row>
    <row r="33" spans="1:50" ht="14.1" customHeight="1" x14ac:dyDescent="0.3">
      <c r="A33" s="43"/>
      <c r="B33" s="215">
        <v>10</v>
      </c>
      <c r="C33" s="215"/>
      <c r="D33" s="205" t="e">
        <f t="shared" si="11"/>
        <v>#VALUE!</v>
      </c>
      <c r="E33" s="216" t="e">
        <f t="shared" si="12"/>
        <v>#VALUE!</v>
      </c>
      <c r="F33" s="216"/>
      <c r="G33" s="216" t="e">
        <f t="shared" si="13"/>
        <v>#VALUE!</v>
      </c>
      <c r="H33" s="216"/>
      <c r="I33" s="202"/>
      <c r="J33" s="53"/>
      <c r="K33" s="54"/>
      <c r="L33" s="54"/>
      <c r="M33" s="57"/>
      <c r="N33" s="54"/>
      <c r="O33" s="125"/>
      <c r="Q33" s="126" t="s">
        <v>243</v>
      </c>
      <c r="R33" s="146">
        <f>Калькулятор!N6</f>
        <v>13.99</v>
      </c>
      <c r="S33" s="189">
        <f>Калькулятор!G9</f>
        <v>9.9000000000000008E-3</v>
      </c>
      <c r="T33" s="190">
        <v>5.4899999999999997E-2</v>
      </c>
      <c r="U33" s="128">
        <v>750</v>
      </c>
      <c r="V33" s="123"/>
      <c r="W33" s="124"/>
      <c r="AA33" s="196" t="e">
        <f t="shared" si="0"/>
        <v>#VALUE!</v>
      </c>
      <c r="AB33" s="185">
        <f t="shared" ca="1" si="6"/>
        <v>46955</v>
      </c>
      <c r="AC33" s="229">
        <f t="shared" si="14"/>
        <v>30</v>
      </c>
      <c r="AD33" s="230"/>
      <c r="AE33" s="83" t="e">
        <f t="shared" si="7"/>
        <v>#VALUE!</v>
      </c>
      <c r="AF33" s="84"/>
      <c r="AG33" s="235" t="e">
        <f t="shared" si="8"/>
        <v>#VALUE!</v>
      </c>
      <c r="AH33" s="236"/>
      <c r="AI33" s="237" t="e">
        <f t="shared" si="9"/>
        <v>#VALUE!</v>
      </c>
      <c r="AJ33" s="238"/>
      <c r="AK33" s="85">
        <f t="shared" ca="1" si="1"/>
        <v>46934</v>
      </c>
      <c r="AL33" s="229">
        <v>30</v>
      </c>
      <c r="AM33" s="230"/>
      <c r="AN33" s="86" t="e">
        <f t="shared" si="2"/>
        <v>#VALUE!</v>
      </c>
      <c r="AO33" s="87"/>
      <c r="AP33" s="231" t="e">
        <f t="shared" ca="1" si="3"/>
        <v>#VALUE!</v>
      </c>
      <c r="AQ33" s="232"/>
      <c r="AR33" s="233" t="e">
        <f t="shared" ca="1" si="4"/>
        <v>#VALUE!</v>
      </c>
      <c r="AS33" s="234"/>
      <c r="AT33" s="87" t="e">
        <f t="shared" ca="1" si="10"/>
        <v>#VALUE!</v>
      </c>
      <c r="AU33" s="75" t="e">
        <f t="shared" si="5"/>
        <v>#VALUE!</v>
      </c>
    </row>
    <row r="34" spans="1:50" ht="14.1" customHeight="1" x14ac:dyDescent="0.3">
      <c r="A34" s="43"/>
      <c r="B34" s="215">
        <v>11</v>
      </c>
      <c r="C34" s="215"/>
      <c r="D34" s="205" t="e">
        <f t="shared" si="11"/>
        <v>#VALUE!</v>
      </c>
      <c r="E34" s="216" t="e">
        <f t="shared" si="12"/>
        <v>#VALUE!</v>
      </c>
      <c r="F34" s="216"/>
      <c r="G34" s="216" t="e">
        <f t="shared" si="13"/>
        <v>#VALUE!</v>
      </c>
      <c r="H34" s="216"/>
      <c r="I34" s="202"/>
      <c r="J34" s="53"/>
      <c r="K34" s="54"/>
      <c r="L34" s="54"/>
      <c r="M34" s="54"/>
      <c r="N34" s="54"/>
      <c r="O34" s="125"/>
      <c r="R34" s="129"/>
      <c r="T34" s="123"/>
      <c r="U34" s="123"/>
      <c r="V34" s="123"/>
      <c r="W34" s="124"/>
      <c r="AA34" s="196" t="e">
        <f t="shared" si="0"/>
        <v>#VALUE!</v>
      </c>
      <c r="AB34" s="185">
        <f t="shared" ca="1" si="6"/>
        <v>46986</v>
      </c>
      <c r="AC34" s="229">
        <f t="shared" si="14"/>
        <v>31</v>
      </c>
      <c r="AD34" s="230"/>
      <c r="AE34" s="83" t="e">
        <f t="shared" si="7"/>
        <v>#VALUE!</v>
      </c>
      <c r="AF34" s="84"/>
      <c r="AG34" s="235" t="e">
        <f t="shared" si="8"/>
        <v>#VALUE!</v>
      </c>
      <c r="AH34" s="236"/>
      <c r="AI34" s="237" t="e">
        <f t="shared" si="9"/>
        <v>#VALUE!</v>
      </c>
      <c r="AJ34" s="238"/>
      <c r="AK34" s="85">
        <f t="shared" ca="1" si="1"/>
        <v>46965</v>
      </c>
      <c r="AL34" s="229">
        <v>31</v>
      </c>
      <c r="AM34" s="230"/>
      <c r="AN34" s="86" t="e">
        <f t="shared" si="2"/>
        <v>#VALUE!</v>
      </c>
      <c r="AO34" s="87"/>
      <c r="AP34" s="231" t="e">
        <f t="shared" ca="1" si="3"/>
        <v>#VALUE!</v>
      </c>
      <c r="AQ34" s="232"/>
      <c r="AR34" s="233" t="e">
        <f t="shared" ca="1" si="4"/>
        <v>#VALUE!</v>
      </c>
      <c r="AS34" s="234"/>
      <c r="AT34" s="87" t="e">
        <f t="shared" ca="1" si="10"/>
        <v>#VALUE!</v>
      </c>
      <c r="AU34" s="75" t="e">
        <f t="shared" si="5"/>
        <v>#VALUE!</v>
      </c>
    </row>
    <row r="35" spans="1:50" ht="14.1" customHeight="1" x14ac:dyDescent="0.3">
      <c r="A35" s="43"/>
      <c r="B35" s="215">
        <v>12</v>
      </c>
      <c r="C35" s="215"/>
      <c r="D35" s="205" t="e">
        <f t="shared" si="11"/>
        <v>#VALUE!</v>
      </c>
      <c r="E35" s="216" t="e">
        <f t="shared" si="12"/>
        <v>#VALUE!</v>
      </c>
      <c r="F35" s="216"/>
      <c r="G35" s="216" t="e">
        <f t="shared" si="13"/>
        <v>#VALUE!</v>
      </c>
      <c r="H35" s="216"/>
      <c r="I35" s="202"/>
      <c r="J35" s="53"/>
      <c r="K35" s="56"/>
      <c r="L35" s="56"/>
      <c r="M35" s="54"/>
      <c r="N35" s="54"/>
      <c r="O35" s="125"/>
      <c r="Q35" s="192" t="s">
        <v>278</v>
      </c>
      <c r="R35" s="193" t="e">
        <f>MAX(AI4:AJ87)</f>
        <v>#VALUE!</v>
      </c>
      <c r="S35" s="63"/>
      <c r="T35" s="123"/>
      <c r="V35" s="123"/>
      <c r="W35" s="124"/>
      <c r="AA35" s="196" t="e">
        <f t="shared" si="0"/>
        <v>#VALUE!</v>
      </c>
      <c r="AB35" s="185">
        <f t="shared" ca="1" si="6"/>
        <v>47017</v>
      </c>
      <c r="AC35" s="229">
        <f t="shared" si="14"/>
        <v>32</v>
      </c>
      <c r="AD35" s="230"/>
      <c r="AE35" s="83" t="e">
        <f t="shared" si="7"/>
        <v>#VALUE!</v>
      </c>
      <c r="AF35" s="84"/>
      <c r="AG35" s="235" t="e">
        <f t="shared" si="8"/>
        <v>#VALUE!</v>
      </c>
      <c r="AH35" s="236"/>
      <c r="AI35" s="237" t="e">
        <f t="shared" si="9"/>
        <v>#VALUE!</v>
      </c>
      <c r="AJ35" s="238"/>
      <c r="AK35" s="85">
        <f t="shared" ca="1" si="1"/>
        <v>46996</v>
      </c>
      <c r="AL35" s="229">
        <v>32</v>
      </c>
      <c r="AM35" s="230"/>
      <c r="AN35" s="86" t="e">
        <f t="shared" si="2"/>
        <v>#VALUE!</v>
      </c>
      <c r="AO35" s="87"/>
      <c r="AP35" s="231" t="e">
        <f t="shared" ca="1" si="3"/>
        <v>#VALUE!</v>
      </c>
      <c r="AQ35" s="232"/>
      <c r="AR35" s="233" t="e">
        <f t="shared" ca="1" si="4"/>
        <v>#VALUE!</v>
      </c>
      <c r="AS35" s="234"/>
      <c r="AT35" s="87" t="e">
        <f t="shared" ca="1" si="10"/>
        <v>#VALUE!</v>
      </c>
      <c r="AU35" s="75" t="e">
        <f t="shared" si="5"/>
        <v>#VALUE!</v>
      </c>
    </row>
    <row r="36" spans="1:50" ht="14.1" customHeight="1" x14ac:dyDescent="0.3">
      <c r="A36" s="43"/>
      <c r="B36" s="215">
        <f>IF(E12=12,"Всього:",IF(B35&lt;$E$12,B35+1,""))</f>
        <v>13</v>
      </c>
      <c r="C36" s="215"/>
      <c r="D36" s="205" t="e">
        <f>IF(E12=12,SUM(D24:D35),IF(B35&lt;$E$12,AE16,""))</f>
        <v>#VALUE!</v>
      </c>
      <c r="E36" s="216" t="e">
        <f>IF(E12=12,SUM(E24:F35),IF(B35&lt;$E$12,AG16,""))</f>
        <v>#VALUE!</v>
      </c>
      <c r="F36" s="216"/>
      <c r="G36" s="216" t="e">
        <f>IF(E12=12,SUM(G24:H35),IF(B35&lt;$E$12,AI16,""))</f>
        <v>#VALUE!</v>
      </c>
      <c r="H36" s="216"/>
      <c r="I36" s="202"/>
      <c r="J36" s="53"/>
      <c r="K36" s="56"/>
      <c r="L36" s="56"/>
      <c r="M36" s="54"/>
      <c r="N36" s="54"/>
      <c r="O36" s="125"/>
      <c r="Q36" s="12" t="s">
        <v>212</v>
      </c>
      <c r="R36" s="92">
        <f>Калькулятор!N40</f>
        <v>0</v>
      </c>
      <c r="S36" s="63"/>
      <c r="T36" s="123"/>
      <c r="U36" s="123"/>
      <c r="V36" s="123"/>
      <c r="W36" s="124"/>
      <c r="AA36" s="196" t="e">
        <f t="shared" si="0"/>
        <v>#VALUE!</v>
      </c>
      <c r="AB36" s="185">
        <f t="shared" ca="1" si="6"/>
        <v>47047</v>
      </c>
      <c r="AC36" s="229">
        <f t="shared" si="14"/>
        <v>33</v>
      </c>
      <c r="AD36" s="230"/>
      <c r="AE36" s="83" t="e">
        <f t="shared" si="7"/>
        <v>#VALUE!</v>
      </c>
      <c r="AF36" s="84"/>
      <c r="AG36" s="235" t="e">
        <f t="shared" si="8"/>
        <v>#VALUE!</v>
      </c>
      <c r="AH36" s="236"/>
      <c r="AI36" s="237" t="e">
        <f t="shared" si="9"/>
        <v>#VALUE!</v>
      </c>
      <c r="AJ36" s="238"/>
      <c r="AK36" s="85">
        <f t="shared" ca="1" si="1"/>
        <v>47026</v>
      </c>
      <c r="AL36" s="229">
        <v>33</v>
      </c>
      <c r="AM36" s="230"/>
      <c r="AN36" s="86" t="e">
        <f t="shared" si="2"/>
        <v>#VALUE!</v>
      </c>
      <c r="AO36" s="87"/>
      <c r="AP36" s="231" t="e">
        <f t="shared" ca="1" si="3"/>
        <v>#VALUE!</v>
      </c>
      <c r="AQ36" s="232"/>
      <c r="AR36" s="233" t="e">
        <f t="shared" ca="1" si="4"/>
        <v>#VALUE!</v>
      </c>
      <c r="AS36" s="234"/>
      <c r="AT36" s="87" t="e">
        <f t="shared" ca="1" si="10"/>
        <v>#VALUE!</v>
      </c>
      <c r="AU36" s="75" t="e">
        <f t="shared" si="5"/>
        <v>#VALUE!</v>
      </c>
    </row>
    <row r="37" spans="1:50" ht="14.1" customHeight="1" x14ac:dyDescent="0.3">
      <c r="A37" s="43"/>
      <c r="B37" s="215">
        <f t="shared" ref="B37:B100" si="15">IF(B36&lt;$E$12,B36+1,"")</f>
        <v>14</v>
      </c>
      <c r="C37" s="215"/>
      <c r="D37" s="205" t="e">
        <f t="shared" ref="D37:D47" si="16">IF(B36&lt;$E$12,AE17,"")</f>
        <v>#VALUE!</v>
      </c>
      <c r="E37" s="216" t="e">
        <f t="shared" ref="E37:E47" si="17">IF(B36&lt;$E$12,AG17,"")</f>
        <v>#VALUE!</v>
      </c>
      <c r="F37" s="216"/>
      <c r="G37" s="216" t="e">
        <f t="shared" ref="G37:G47" si="18">IF(B36&lt;$E$12,AI17,"")</f>
        <v>#VALUE!</v>
      </c>
      <c r="H37" s="216"/>
      <c r="I37" s="202"/>
      <c r="J37" s="53"/>
      <c r="K37" s="56"/>
      <c r="L37" s="56"/>
      <c r="M37" s="54"/>
      <c r="N37" s="54"/>
      <c r="O37" s="125"/>
      <c r="Q37" s="192" t="s">
        <v>279</v>
      </c>
      <c r="R37" s="192">
        <f>V9*S33</f>
        <v>16532.950500000003</v>
      </c>
      <c r="S37" s="63"/>
      <c r="AA37" s="196" t="e">
        <f t="shared" si="0"/>
        <v>#VALUE!</v>
      </c>
      <c r="AB37" s="185">
        <f t="shared" ca="1" si="6"/>
        <v>47078</v>
      </c>
      <c r="AC37" s="229">
        <f t="shared" si="14"/>
        <v>34</v>
      </c>
      <c r="AD37" s="230"/>
      <c r="AE37" s="83" t="e">
        <f t="shared" si="7"/>
        <v>#VALUE!</v>
      </c>
      <c r="AF37" s="84"/>
      <c r="AG37" s="235" t="e">
        <f t="shared" si="8"/>
        <v>#VALUE!</v>
      </c>
      <c r="AH37" s="236"/>
      <c r="AI37" s="237" t="e">
        <f t="shared" si="9"/>
        <v>#VALUE!</v>
      </c>
      <c r="AJ37" s="238"/>
      <c r="AK37" s="85">
        <f t="shared" ca="1" si="1"/>
        <v>47057</v>
      </c>
      <c r="AL37" s="229">
        <v>34</v>
      </c>
      <c r="AM37" s="230"/>
      <c r="AN37" s="86" t="e">
        <f t="shared" si="2"/>
        <v>#VALUE!</v>
      </c>
      <c r="AO37" s="87"/>
      <c r="AP37" s="231" t="e">
        <f t="shared" ca="1" si="3"/>
        <v>#VALUE!</v>
      </c>
      <c r="AQ37" s="232"/>
      <c r="AR37" s="233" t="e">
        <f t="shared" ca="1" si="4"/>
        <v>#VALUE!</v>
      </c>
      <c r="AS37" s="234"/>
      <c r="AT37" s="87" t="e">
        <f t="shared" ca="1" si="10"/>
        <v>#VALUE!</v>
      </c>
      <c r="AU37" s="75" t="e">
        <f t="shared" si="5"/>
        <v>#VALUE!</v>
      </c>
    </row>
    <row r="38" spans="1:50" ht="14.1" customHeight="1" x14ac:dyDescent="0.3">
      <c r="A38" s="43"/>
      <c r="B38" s="215">
        <f t="shared" si="15"/>
        <v>15</v>
      </c>
      <c r="C38" s="215"/>
      <c r="D38" s="205" t="e">
        <f t="shared" si="16"/>
        <v>#VALUE!</v>
      </c>
      <c r="E38" s="216" t="e">
        <f t="shared" si="17"/>
        <v>#VALUE!</v>
      </c>
      <c r="F38" s="216"/>
      <c r="G38" s="216" t="e">
        <f t="shared" si="18"/>
        <v>#VALUE!</v>
      </c>
      <c r="H38" s="216"/>
      <c r="I38" s="202"/>
      <c r="J38" s="53"/>
      <c r="K38" s="56"/>
      <c r="L38" s="56"/>
      <c r="M38" s="54"/>
      <c r="N38" s="54"/>
      <c r="O38" s="125"/>
      <c r="Q38" s="192" t="s">
        <v>214</v>
      </c>
      <c r="R38" s="192">
        <f>E4*T33</f>
        <v>139995</v>
      </c>
      <c r="S38" s="63"/>
      <c r="T38" s="131"/>
      <c r="U38" s="132"/>
      <c r="V38" s="133"/>
      <c r="W38" s="133"/>
      <c r="X38" s="133"/>
      <c r="Y38" s="133"/>
      <c r="AA38" s="196" t="e">
        <f t="shared" si="0"/>
        <v>#VALUE!</v>
      </c>
      <c r="AB38" s="185">
        <f t="shared" ca="1" si="6"/>
        <v>47108</v>
      </c>
      <c r="AC38" s="229">
        <f t="shared" si="14"/>
        <v>35</v>
      </c>
      <c r="AD38" s="230"/>
      <c r="AE38" s="83" t="e">
        <f t="shared" si="7"/>
        <v>#VALUE!</v>
      </c>
      <c r="AF38" s="84"/>
      <c r="AG38" s="235" t="e">
        <f t="shared" si="8"/>
        <v>#VALUE!</v>
      </c>
      <c r="AH38" s="236"/>
      <c r="AI38" s="237" t="e">
        <f t="shared" si="9"/>
        <v>#VALUE!</v>
      </c>
      <c r="AJ38" s="238"/>
      <c r="AK38" s="85">
        <f t="shared" ca="1" si="1"/>
        <v>47087</v>
      </c>
      <c r="AL38" s="229">
        <v>35</v>
      </c>
      <c r="AM38" s="230"/>
      <c r="AN38" s="86" t="e">
        <f t="shared" si="2"/>
        <v>#VALUE!</v>
      </c>
      <c r="AO38" s="87"/>
      <c r="AP38" s="231" t="e">
        <f t="shared" ca="1" si="3"/>
        <v>#VALUE!</v>
      </c>
      <c r="AQ38" s="232"/>
      <c r="AR38" s="233" t="e">
        <f t="shared" ca="1" si="4"/>
        <v>#VALUE!</v>
      </c>
      <c r="AS38" s="234"/>
      <c r="AT38" s="87" t="e">
        <f t="shared" ca="1" si="10"/>
        <v>#VALUE!</v>
      </c>
      <c r="AU38" s="75" t="e">
        <f t="shared" si="5"/>
        <v>#VALUE!</v>
      </c>
    </row>
    <row r="39" spans="1:50" ht="14.1" customHeight="1" thickBot="1" x14ac:dyDescent="0.35">
      <c r="A39" s="43"/>
      <c r="B39" s="215">
        <f t="shared" si="15"/>
        <v>16</v>
      </c>
      <c r="C39" s="215"/>
      <c r="D39" s="205" t="e">
        <f t="shared" si="16"/>
        <v>#VALUE!</v>
      </c>
      <c r="E39" s="216" t="e">
        <f t="shared" si="17"/>
        <v>#VALUE!</v>
      </c>
      <c r="F39" s="216"/>
      <c r="G39" s="216" t="e">
        <f t="shared" si="18"/>
        <v>#VALUE!</v>
      </c>
      <c r="H39" s="216"/>
      <c r="I39" s="202"/>
      <c r="J39" s="53"/>
      <c r="K39" s="55"/>
      <c r="L39" s="56"/>
      <c r="M39" s="54"/>
      <c r="N39" s="54"/>
      <c r="O39" s="125"/>
      <c r="Q39" s="92" t="s">
        <v>215</v>
      </c>
      <c r="R39" s="194">
        <f>IF(E6="Ні",IF(E4/1.2&lt;=165*$S$28,E4/1.2*3%,IF(E4/1.2&lt;=290*$S$28,E4/1.2*4%,E4/1.2*5%)),0)</f>
        <v>106250</v>
      </c>
      <c r="T39" s="131"/>
      <c r="U39" s="132"/>
      <c r="V39" s="132"/>
      <c r="W39" s="132"/>
      <c r="X39" s="132"/>
      <c r="Y39" s="132"/>
      <c r="AA39" s="196" t="str">
        <f>IFERROR(AI39+Z40,"-")</f>
        <v>-</v>
      </c>
      <c r="AB39" s="185">
        <f t="shared" ca="1" si="6"/>
        <v>47139</v>
      </c>
      <c r="AC39" s="229">
        <f t="shared" si="14"/>
        <v>36</v>
      </c>
      <c r="AD39" s="230"/>
      <c r="AE39" s="83" t="e">
        <f t="shared" si="7"/>
        <v>#VALUE!</v>
      </c>
      <c r="AF39" s="84"/>
      <c r="AG39" s="235" t="e">
        <f t="shared" si="8"/>
        <v>#VALUE!</v>
      </c>
      <c r="AH39" s="236"/>
      <c r="AI39" s="237" t="e">
        <f t="shared" si="9"/>
        <v>#VALUE!</v>
      </c>
      <c r="AJ39" s="238"/>
      <c r="AK39" s="85">
        <f t="shared" ca="1" si="1"/>
        <v>47118</v>
      </c>
      <c r="AL39" s="229">
        <v>36</v>
      </c>
      <c r="AM39" s="230"/>
      <c r="AN39" s="86" t="e">
        <f t="shared" si="2"/>
        <v>#VALUE!</v>
      </c>
      <c r="AO39" s="87"/>
      <c r="AP39" s="231" t="e">
        <f t="shared" ca="1" si="3"/>
        <v>#VALUE!</v>
      </c>
      <c r="AQ39" s="232"/>
      <c r="AR39" s="233" t="e">
        <f t="shared" ca="1" si="4"/>
        <v>#VALUE!</v>
      </c>
      <c r="AS39" s="234"/>
      <c r="AT39" s="87" t="e">
        <f t="shared" ca="1" si="10"/>
        <v>#VALUE!</v>
      </c>
      <c r="AU39" s="75" t="e">
        <f t="shared" si="5"/>
        <v>#VALUE!</v>
      </c>
    </row>
    <row r="40" spans="1:50" ht="14.1" customHeight="1" x14ac:dyDescent="0.3">
      <c r="A40" s="43"/>
      <c r="B40" s="215">
        <f t="shared" si="15"/>
        <v>17</v>
      </c>
      <c r="C40" s="215"/>
      <c r="D40" s="205" t="e">
        <f t="shared" si="16"/>
        <v>#VALUE!</v>
      </c>
      <c r="E40" s="216" t="e">
        <f t="shared" si="17"/>
        <v>#VALUE!</v>
      </c>
      <c r="F40" s="216"/>
      <c r="G40" s="216" t="e">
        <f t="shared" si="18"/>
        <v>#VALUE!</v>
      </c>
      <c r="H40" s="216"/>
      <c r="I40" s="202"/>
      <c r="J40" s="53"/>
      <c r="K40" s="134" t="s">
        <v>280</v>
      </c>
      <c r="L40" s="56"/>
      <c r="M40" s="54"/>
      <c r="N40" s="54"/>
      <c r="O40" s="125"/>
      <c r="Q40" s="92" t="s">
        <v>219</v>
      </c>
      <c r="R40" s="92">
        <f>Калькулятор!N43+Калькулятор!N37</f>
        <v>0</v>
      </c>
      <c r="T40" s="135"/>
      <c r="U40" s="135"/>
      <c r="V40" s="135"/>
      <c r="W40" s="135"/>
      <c r="X40" s="135"/>
      <c r="Y40" s="135"/>
      <c r="Z40" s="116">
        <f>IF($V$26&gt;AC40,$E$4*0.9*0.9*0.9*5.49%,0)</f>
        <v>102056.35500000001</v>
      </c>
      <c r="AA40" s="196" t="e">
        <f t="shared" si="0"/>
        <v>#VALUE!</v>
      </c>
      <c r="AB40" s="185">
        <f t="shared" ca="1" si="6"/>
        <v>47170</v>
      </c>
      <c r="AC40" s="229">
        <f t="shared" si="14"/>
        <v>37</v>
      </c>
      <c r="AD40" s="230"/>
      <c r="AE40" s="83" t="e">
        <f t="shared" si="7"/>
        <v>#VALUE!</v>
      </c>
      <c r="AF40" s="84"/>
      <c r="AG40" s="235" t="e">
        <f t="shared" si="8"/>
        <v>#VALUE!</v>
      </c>
      <c r="AH40" s="236"/>
      <c r="AI40" s="237" t="e">
        <f t="shared" si="9"/>
        <v>#VALUE!</v>
      </c>
      <c r="AJ40" s="238"/>
      <c r="AK40" s="85">
        <f t="shared" ca="1" si="1"/>
        <v>47149</v>
      </c>
      <c r="AL40" s="229">
        <v>37</v>
      </c>
      <c r="AM40" s="230"/>
      <c r="AN40" s="86" t="e">
        <f t="shared" si="2"/>
        <v>#VALUE!</v>
      </c>
      <c r="AO40" s="87"/>
      <c r="AP40" s="231" t="e">
        <f t="shared" ca="1" si="3"/>
        <v>#VALUE!</v>
      </c>
      <c r="AQ40" s="232"/>
      <c r="AR40" s="233" t="e">
        <f t="shared" ca="1" si="4"/>
        <v>#VALUE!</v>
      </c>
      <c r="AS40" s="234"/>
      <c r="AT40" s="87" t="e">
        <f t="shared" ca="1" si="10"/>
        <v>#VALUE!</v>
      </c>
      <c r="AU40" s="75" t="e">
        <f>AI40+AW40+AX40</f>
        <v>#VALUE!</v>
      </c>
      <c r="AW40" s="63">
        <f>IF($E$12&gt;$R$4,$E$4*0.9*0.9*0.9*5.5%,"")</f>
        <v>102242.25</v>
      </c>
      <c r="AX40" s="63" t="e">
        <f>IF(#REF!=0,0,IF($E$12&gt;$R$4,(AE90-SUM(AE4:AE39))*0.0299,""))</f>
        <v>#REF!</v>
      </c>
    </row>
    <row r="41" spans="1:50" ht="14.1" customHeight="1" thickBot="1" x14ac:dyDescent="0.35">
      <c r="A41" s="43"/>
      <c r="B41" s="215">
        <f t="shared" si="15"/>
        <v>18</v>
      </c>
      <c r="C41" s="215"/>
      <c r="D41" s="205" t="e">
        <f t="shared" si="16"/>
        <v>#VALUE!</v>
      </c>
      <c r="E41" s="216" t="e">
        <f t="shared" si="17"/>
        <v>#VALUE!</v>
      </c>
      <c r="F41" s="216"/>
      <c r="G41" s="216" t="e">
        <f t="shared" si="18"/>
        <v>#VALUE!</v>
      </c>
      <c r="H41" s="216"/>
      <c r="I41" s="202"/>
      <c r="J41" s="53"/>
      <c r="K41" s="136"/>
      <c r="L41" s="56"/>
      <c r="M41" s="54"/>
      <c r="N41" s="54"/>
      <c r="O41" s="125"/>
      <c r="Q41" s="192" t="s">
        <v>281</v>
      </c>
      <c r="R41" s="197" t="e">
        <f ca="1">IF(V26=12,XIRR(AA3:AA15,AB3:AB15),IF(V26=24,XIRR(AA3:AA27,AB3:AB27),IF(V26=36,XIRR(AA3:AA39,AB3:AB39),IF(V26=48,XIRR(AA3:AA51,AB3:AB51),IF(V26=60,XIRR(AA3:AA63,AB3:AB63),IF(V26=72,XIRR(AA3:AA75,AB3:AB75),IF(V26=84,XIRR(AA3:AA87,AB3:AB87))))))))</f>
        <v>#VALUE!</v>
      </c>
      <c r="S41" s="74"/>
      <c r="T41" s="74"/>
      <c r="U41" s="74"/>
      <c r="V41" s="74"/>
      <c r="W41" s="74"/>
      <c r="X41" s="74"/>
      <c r="Y41" s="74"/>
      <c r="AA41" s="196" t="e">
        <f t="shared" si="0"/>
        <v>#VALUE!</v>
      </c>
      <c r="AB41" s="185">
        <f t="shared" ca="1" si="6"/>
        <v>47198</v>
      </c>
      <c r="AC41" s="229">
        <f t="shared" si="14"/>
        <v>38</v>
      </c>
      <c r="AD41" s="230"/>
      <c r="AE41" s="83" t="e">
        <f t="shared" si="7"/>
        <v>#VALUE!</v>
      </c>
      <c r="AF41" s="84"/>
      <c r="AG41" s="235" t="e">
        <f t="shared" si="8"/>
        <v>#VALUE!</v>
      </c>
      <c r="AH41" s="236"/>
      <c r="AI41" s="237" t="e">
        <f t="shared" si="9"/>
        <v>#VALUE!</v>
      </c>
      <c r="AJ41" s="238"/>
      <c r="AK41" s="85">
        <f t="shared" ca="1" si="1"/>
        <v>47177</v>
      </c>
      <c r="AL41" s="229">
        <v>38</v>
      </c>
      <c r="AM41" s="230"/>
      <c r="AN41" s="86" t="e">
        <f t="shared" si="2"/>
        <v>#VALUE!</v>
      </c>
      <c r="AO41" s="87"/>
      <c r="AP41" s="231" t="e">
        <f t="shared" ca="1" si="3"/>
        <v>#VALUE!</v>
      </c>
      <c r="AQ41" s="232"/>
      <c r="AR41" s="233" t="e">
        <f t="shared" ca="1" si="4"/>
        <v>#VALUE!</v>
      </c>
      <c r="AS41" s="234"/>
      <c r="AT41" s="87" t="e">
        <f t="shared" ca="1" si="10"/>
        <v>#VALUE!</v>
      </c>
      <c r="AU41" s="75" t="e">
        <f t="shared" si="5"/>
        <v>#VALUE!</v>
      </c>
    </row>
    <row r="42" spans="1:50" ht="14.1" customHeight="1" x14ac:dyDescent="0.3">
      <c r="A42" s="43"/>
      <c r="B42" s="215">
        <f t="shared" si="15"/>
        <v>19</v>
      </c>
      <c r="C42" s="215"/>
      <c r="D42" s="205" t="e">
        <f t="shared" si="16"/>
        <v>#VALUE!</v>
      </c>
      <c r="E42" s="216" t="e">
        <f t="shared" si="17"/>
        <v>#VALUE!</v>
      </c>
      <c r="F42" s="216"/>
      <c r="G42" s="216" t="e">
        <f t="shared" si="18"/>
        <v>#VALUE!</v>
      </c>
      <c r="H42" s="216"/>
      <c r="I42" s="202"/>
      <c r="J42" s="53"/>
      <c r="K42" s="55"/>
      <c r="L42" s="56"/>
      <c r="M42" s="54"/>
      <c r="N42" s="54"/>
      <c r="O42" s="125"/>
      <c r="R42" s="63"/>
      <c r="S42" s="74"/>
      <c r="T42" s="74"/>
      <c r="U42" s="74"/>
      <c r="V42" s="74"/>
      <c r="W42" s="74"/>
      <c r="X42" s="74"/>
      <c r="Y42" s="74"/>
      <c r="AA42" s="196" t="e">
        <f t="shared" si="0"/>
        <v>#VALUE!</v>
      </c>
      <c r="AB42" s="185">
        <f t="shared" ca="1" si="6"/>
        <v>47229</v>
      </c>
      <c r="AC42" s="229">
        <f t="shared" si="14"/>
        <v>39</v>
      </c>
      <c r="AD42" s="230"/>
      <c r="AE42" s="83" t="e">
        <f t="shared" si="7"/>
        <v>#VALUE!</v>
      </c>
      <c r="AF42" s="84"/>
      <c r="AG42" s="235" t="e">
        <f t="shared" si="8"/>
        <v>#VALUE!</v>
      </c>
      <c r="AH42" s="236"/>
      <c r="AI42" s="237" t="e">
        <f t="shared" si="9"/>
        <v>#VALUE!</v>
      </c>
      <c r="AJ42" s="238"/>
      <c r="AK42" s="85">
        <f t="shared" ca="1" si="1"/>
        <v>47208</v>
      </c>
      <c r="AL42" s="229">
        <v>39</v>
      </c>
      <c r="AM42" s="230"/>
      <c r="AN42" s="86" t="e">
        <f t="shared" si="2"/>
        <v>#VALUE!</v>
      </c>
      <c r="AO42" s="87"/>
      <c r="AP42" s="231" t="e">
        <f t="shared" ca="1" si="3"/>
        <v>#VALUE!</v>
      </c>
      <c r="AQ42" s="232"/>
      <c r="AR42" s="233" t="e">
        <f t="shared" ca="1" si="4"/>
        <v>#VALUE!</v>
      </c>
      <c r="AS42" s="234"/>
      <c r="AT42" s="87" t="e">
        <f t="shared" ca="1" si="10"/>
        <v>#VALUE!</v>
      </c>
      <c r="AU42" s="75" t="e">
        <f t="shared" si="5"/>
        <v>#VALUE!</v>
      </c>
    </row>
    <row r="43" spans="1:50" ht="14.1" customHeight="1" x14ac:dyDescent="0.3">
      <c r="A43" s="43"/>
      <c r="B43" s="215">
        <f t="shared" si="15"/>
        <v>20</v>
      </c>
      <c r="C43" s="215"/>
      <c r="D43" s="205" t="e">
        <f t="shared" si="16"/>
        <v>#VALUE!</v>
      </c>
      <c r="E43" s="216" t="e">
        <f t="shared" si="17"/>
        <v>#VALUE!</v>
      </c>
      <c r="F43" s="216"/>
      <c r="G43" s="216" t="e">
        <f t="shared" si="18"/>
        <v>#VALUE!</v>
      </c>
      <c r="H43" s="216"/>
      <c r="I43" s="202"/>
      <c r="J43" s="53"/>
      <c r="K43" s="55"/>
      <c r="L43" s="56"/>
      <c r="M43" s="54"/>
      <c r="N43" s="54"/>
      <c r="O43" s="137"/>
      <c r="S43" s="74"/>
      <c r="T43" s="74"/>
      <c r="U43" s="74"/>
      <c r="V43" s="74"/>
      <c r="W43" s="74"/>
      <c r="X43" s="74"/>
      <c r="Y43" s="74"/>
      <c r="AA43" s="196" t="e">
        <f t="shared" si="0"/>
        <v>#VALUE!</v>
      </c>
      <c r="AB43" s="185">
        <f t="shared" ca="1" si="6"/>
        <v>47259</v>
      </c>
      <c r="AC43" s="229">
        <f>AC42+1</f>
        <v>40</v>
      </c>
      <c r="AD43" s="230"/>
      <c r="AE43" s="83" t="e">
        <f t="shared" si="7"/>
        <v>#VALUE!</v>
      </c>
      <c r="AF43" s="84"/>
      <c r="AG43" s="235" t="e">
        <f t="shared" si="8"/>
        <v>#VALUE!</v>
      </c>
      <c r="AH43" s="236"/>
      <c r="AI43" s="237" t="e">
        <f t="shared" si="9"/>
        <v>#VALUE!</v>
      </c>
      <c r="AJ43" s="238"/>
      <c r="AK43" s="85">
        <f t="shared" ca="1" si="1"/>
        <v>47238</v>
      </c>
      <c r="AL43" s="229">
        <v>40</v>
      </c>
      <c r="AM43" s="230"/>
      <c r="AN43" s="86" t="e">
        <f t="shared" si="2"/>
        <v>#VALUE!</v>
      </c>
      <c r="AO43" s="87"/>
      <c r="AP43" s="231" t="e">
        <f t="shared" ca="1" si="3"/>
        <v>#VALUE!</v>
      </c>
      <c r="AQ43" s="232"/>
      <c r="AR43" s="233" t="e">
        <f t="shared" ca="1" si="4"/>
        <v>#VALUE!</v>
      </c>
      <c r="AS43" s="234"/>
      <c r="AT43" s="87" t="e">
        <f t="shared" ca="1" si="10"/>
        <v>#VALUE!</v>
      </c>
      <c r="AU43" s="75" t="e">
        <f t="shared" si="5"/>
        <v>#VALUE!</v>
      </c>
    </row>
    <row r="44" spans="1:50" ht="14.1" customHeight="1" x14ac:dyDescent="0.3">
      <c r="A44" s="43"/>
      <c r="B44" s="215">
        <f t="shared" si="15"/>
        <v>21</v>
      </c>
      <c r="C44" s="215"/>
      <c r="D44" s="205" t="e">
        <f t="shared" si="16"/>
        <v>#VALUE!</v>
      </c>
      <c r="E44" s="216" t="e">
        <f t="shared" si="17"/>
        <v>#VALUE!</v>
      </c>
      <c r="F44" s="216"/>
      <c r="G44" s="216" t="e">
        <f t="shared" si="18"/>
        <v>#VALUE!</v>
      </c>
      <c r="H44" s="216"/>
      <c r="I44" s="202"/>
      <c r="J44" s="53"/>
      <c r="K44" s="55"/>
      <c r="L44" s="56"/>
      <c r="M44" s="54"/>
      <c r="N44" s="54"/>
      <c r="O44" s="137"/>
      <c r="S44" s="74"/>
      <c r="T44" s="74"/>
      <c r="U44" s="74"/>
      <c r="V44" s="74"/>
      <c r="W44" s="74"/>
      <c r="X44" s="74"/>
      <c r="Y44" s="74"/>
      <c r="AA44" s="196" t="e">
        <f t="shared" si="0"/>
        <v>#VALUE!</v>
      </c>
      <c r="AB44" s="185">
        <f t="shared" ca="1" si="6"/>
        <v>47290</v>
      </c>
      <c r="AC44" s="229">
        <f t="shared" si="14"/>
        <v>41</v>
      </c>
      <c r="AD44" s="230"/>
      <c r="AE44" s="83" t="e">
        <f t="shared" si="7"/>
        <v>#VALUE!</v>
      </c>
      <c r="AF44" s="84"/>
      <c r="AG44" s="235" t="e">
        <f t="shared" si="8"/>
        <v>#VALUE!</v>
      </c>
      <c r="AH44" s="236"/>
      <c r="AI44" s="237" t="e">
        <f t="shared" si="9"/>
        <v>#VALUE!</v>
      </c>
      <c r="AJ44" s="238"/>
      <c r="AK44" s="85">
        <f t="shared" ca="1" si="1"/>
        <v>47269</v>
      </c>
      <c r="AL44" s="229">
        <v>41</v>
      </c>
      <c r="AM44" s="230"/>
      <c r="AN44" s="86" t="e">
        <f t="shared" si="2"/>
        <v>#VALUE!</v>
      </c>
      <c r="AO44" s="87"/>
      <c r="AP44" s="231" t="e">
        <f t="shared" ca="1" si="3"/>
        <v>#VALUE!</v>
      </c>
      <c r="AQ44" s="232"/>
      <c r="AR44" s="233" t="e">
        <f t="shared" ca="1" si="4"/>
        <v>#VALUE!</v>
      </c>
      <c r="AS44" s="234"/>
      <c r="AT44" s="87" t="e">
        <f t="shared" ca="1" si="10"/>
        <v>#VALUE!</v>
      </c>
      <c r="AU44" s="75" t="e">
        <f t="shared" si="5"/>
        <v>#VALUE!</v>
      </c>
    </row>
    <row r="45" spans="1:50" ht="14.1" customHeight="1" x14ac:dyDescent="0.3">
      <c r="A45" s="43"/>
      <c r="B45" s="215">
        <f t="shared" si="15"/>
        <v>22</v>
      </c>
      <c r="C45" s="215"/>
      <c r="D45" s="205" t="e">
        <f t="shared" si="16"/>
        <v>#VALUE!</v>
      </c>
      <c r="E45" s="216" t="e">
        <f t="shared" si="17"/>
        <v>#VALUE!</v>
      </c>
      <c r="F45" s="216"/>
      <c r="G45" s="216" t="e">
        <f t="shared" si="18"/>
        <v>#VALUE!</v>
      </c>
      <c r="H45" s="216"/>
      <c r="I45" s="202"/>
      <c r="J45" s="53"/>
      <c r="K45" s="55"/>
      <c r="L45" s="56"/>
      <c r="M45" s="54"/>
      <c r="N45" s="54"/>
      <c r="O45" s="137"/>
      <c r="S45" s="74"/>
      <c r="T45" s="74"/>
      <c r="U45" s="74"/>
      <c r="V45" s="74"/>
      <c r="W45" s="74"/>
      <c r="X45" s="74"/>
      <c r="Y45" s="74"/>
      <c r="AA45" s="196" t="e">
        <f t="shared" si="0"/>
        <v>#VALUE!</v>
      </c>
      <c r="AB45" s="185">
        <f t="shared" ca="1" si="6"/>
        <v>47320</v>
      </c>
      <c r="AC45" s="229">
        <f t="shared" si="14"/>
        <v>42</v>
      </c>
      <c r="AD45" s="230"/>
      <c r="AE45" s="83" t="e">
        <f t="shared" si="7"/>
        <v>#VALUE!</v>
      </c>
      <c r="AF45" s="84"/>
      <c r="AG45" s="235" t="e">
        <f t="shared" si="8"/>
        <v>#VALUE!</v>
      </c>
      <c r="AH45" s="236"/>
      <c r="AI45" s="237" t="e">
        <f t="shared" si="9"/>
        <v>#VALUE!</v>
      </c>
      <c r="AJ45" s="238"/>
      <c r="AK45" s="85">
        <f t="shared" ca="1" si="1"/>
        <v>47299</v>
      </c>
      <c r="AL45" s="229">
        <v>42</v>
      </c>
      <c r="AM45" s="230"/>
      <c r="AN45" s="86" t="e">
        <f t="shared" si="2"/>
        <v>#VALUE!</v>
      </c>
      <c r="AO45" s="87"/>
      <c r="AP45" s="231" t="e">
        <f t="shared" ca="1" si="3"/>
        <v>#VALUE!</v>
      </c>
      <c r="AQ45" s="232"/>
      <c r="AR45" s="233" t="e">
        <f t="shared" ca="1" si="4"/>
        <v>#VALUE!</v>
      </c>
      <c r="AS45" s="234"/>
      <c r="AT45" s="87" t="e">
        <f t="shared" ca="1" si="10"/>
        <v>#VALUE!</v>
      </c>
      <c r="AU45" s="75" t="e">
        <f t="shared" si="5"/>
        <v>#VALUE!</v>
      </c>
    </row>
    <row r="46" spans="1:50" ht="14.1" customHeight="1" x14ac:dyDescent="0.3">
      <c r="A46" s="43"/>
      <c r="B46" s="215">
        <f t="shared" si="15"/>
        <v>23</v>
      </c>
      <c r="C46" s="215"/>
      <c r="D46" s="205" t="e">
        <f t="shared" si="16"/>
        <v>#VALUE!</v>
      </c>
      <c r="E46" s="216" t="e">
        <f t="shared" si="17"/>
        <v>#VALUE!</v>
      </c>
      <c r="F46" s="216"/>
      <c r="G46" s="216" t="e">
        <f t="shared" si="18"/>
        <v>#VALUE!</v>
      </c>
      <c r="H46" s="216"/>
      <c r="I46" s="202"/>
      <c r="J46" s="113"/>
      <c r="K46" s="55"/>
      <c r="L46" s="55"/>
      <c r="M46" s="50"/>
      <c r="N46" s="138"/>
      <c r="O46" s="137"/>
      <c r="P46" s="139"/>
      <c r="S46" s="74"/>
      <c r="T46" s="74"/>
      <c r="U46" s="74"/>
      <c r="V46" s="74"/>
      <c r="W46" s="74"/>
      <c r="X46" s="74"/>
      <c r="Y46" s="74"/>
      <c r="AA46" s="196" t="e">
        <f t="shared" si="0"/>
        <v>#VALUE!</v>
      </c>
      <c r="AB46" s="185">
        <f t="shared" ca="1" si="6"/>
        <v>47351</v>
      </c>
      <c r="AC46" s="229">
        <f t="shared" si="14"/>
        <v>43</v>
      </c>
      <c r="AD46" s="230"/>
      <c r="AE46" s="83" t="e">
        <f t="shared" si="7"/>
        <v>#VALUE!</v>
      </c>
      <c r="AF46" s="84"/>
      <c r="AG46" s="235" t="e">
        <f t="shared" si="8"/>
        <v>#VALUE!</v>
      </c>
      <c r="AH46" s="236"/>
      <c r="AI46" s="237" t="e">
        <f t="shared" si="9"/>
        <v>#VALUE!</v>
      </c>
      <c r="AJ46" s="238"/>
      <c r="AK46" s="85">
        <f t="shared" ca="1" si="1"/>
        <v>47330</v>
      </c>
      <c r="AL46" s="229">
        <v>43</v>
      </c>
      <c r="AM46" s="230"/>
      <c r="AN46" s="86" t="e">
        <f t="shared" si="2"/>
        <v>#VALUE!</v>
      </c>
      <c r="AO46" s="87"/>
      <c r="AP46" s="231" t="e">
        <f t="shared" ca="1" si="3"/>
        <v>#VALUE!</v>
      </c>
      <c r="AQ46" s="232"/>
      <c r="AR46" s="233" t="e">
        <f t="shared" ca="1" si="4"/>
        <v>#VALUE!</v>
      </c>
      <c r="AS46" s="234"/>
      <c r="AT46" s="87" t="e">
        <f t="shared" ca="1" si="10"/>
        <v>#VALUE!</v>
      </c>
      <c r="AU46" s="75" t="e">
        <f t="shared" si="5"/>
        <v>#VALUE!</v>
      </c>
    </row>
    <row r="47" spans="1:50" ht="14.1" customHeight="1" x14ac:dyDescent="0.3">
      <c r="A47" s="43"/>
      <c r="B47" s="215">
        <f t="shared" si="15"/>
        <v>24</v>
      </c>
      <c r="C47" s="215"/>
      <c r="D47" s="205" t="e">
        <f t="shared" si="16"/>
        <v>#VALUE!</v>
      </c>
      <c r="E47" s="216" t="e">
        <f t="shared" si="17"/>
        <v>#VALUE!</v>
      </c>
      <c r="F47" s="216"/>
      <c r="G47" s="216" t="e">
        <f t="shared" si="18"/>
        <v>#VALUE!</v>
      </c>
      <c r="H47" s="216"/>
      <c r="I47" s="202"/>
      <c r="J47" s="113"/>
      <c r="K47" s="55"/>
      <c r="L47" s="55"/>
      <c r="M47" s="50"/>
      <c r="N47" s="138"/>
      <c r="O47" s="137"/>
      <c r="P47" s="139"/>
      <c r="Q47" s="62" t="str">
        <f>IF(E4&gt;1500000,Q48,Q53)</f>
        <v>Не достатня сума авансу</v>
      </c>
      <c r="S47" s="74"/>
      <c r="T47" s="74"/>
      <c r="U47" s="74"/>
      <c r="V47" s="74"/>
      <c r="W47" s="74"/>
      <c r="X47" s="74"/>
      <c r="Y47" s="74"/>
      <c r="AA47" s="196" t="e">
        <f t="shared" si="0"/>
        <v>#VALUE!</v>
      </c>
      <c r="AB47" s="185">
        <f t="shared" ca="1" si="6"/>
        <v>47382</v>
      </c>
      <c r="AC47" s="229">
        <f t="shared" si="14"/>
        <v>44</v>
      </c>
      <c r="AD47" s="230"/>
      <c r="AE47" s="83" t="e">
        <f t="shared" si="7"/>
        <v>#VALUE!</v>
      </c>
      <c r="AF47" s="84"/>
      <c r="AG47" s="235" t="e">
        <f t="shared" si="8"/>
        <v>#VALUE!</v>
      </c>
      <c r="AH47" s="236"/>
      <c r="AI47" s="237" t="e">
        <f t="shared" si="9"/>
        <v>#VALUE!</v>
      </c>
      <c r="AJ47" s="238"/>
      <c r="AK47" s="85">
        <f t="shared" ca="1" si="1"/>
        <v>47361</v>
      </c>
      <c r="AL47" s="229">
        <v>44</v>
      </c>
      <c r="AM47" s="230"/>
      <c r="AN47" s="86" t="e">
        <f t="shared" si="2"/>
        <v>#VALUE!</v>
      </c>
      <c r="AO47" s="87"/>
      <c r="AP47" s="231" t="e">
        <f t="shared" ca="1" si="3"/>
        <v>#VALUE!</v>
      </c>
      <c r="AQ47" s="232"/>
      <c r="AR47" s="233" t="e">
        <f t="shared" ca="1" si="4"/>
        <v>#VALUE!</v>
      </c>
      <c r="AS47" s="234"/>
      <c r="AT47" s="87" t="e">
        <f t="shared" ca="1" si="10"/>
        <v>#VALUE!</v>
      </c>
      <c r="AU47" s="75" t="e">
        <f t="shared" si="5"/>
        <v>#VALUE!</v>
      </c>
    </row>
    <row r="48" spans="1:50" ht="14.1" customHeight="1" x14ac:dyDescent="0.3">
      <c r="A48" s="43"/>
      <c r="B48" s="215">
        <f>IF(E12=24,"Всього:",IF(B47&lt;$E$12,B47+1,""))</f>
        <v>25</v>
      </c>
      <c r="C48" s="215"/>
      <c r="D48" s="205" t="e">
        <f>IF(E12=24,SUM(D24:D47),IF(B47&lt;$E$12,AE28,""))</f>
        <v>#VALUE!</v>
      </c>
      <c r="E48" s="216" t="e">
        <f>IF(E12=24,SUM(E24:F47),IF(B47&lt;$E$12,AG28,""))</f>
        <v>#VALUE!</v>
      </c>
      <c r="F48" s="216"/>
      <c r="G48" s="216" t="e">
        <f>IF(E12=24,SUM(G24:H47),IF(B47&lt;$E$12,AI28,""))</f>
        <v>#VALUE!</v>
      </c>
      <c r="H48" s="216"/>
      <c r="I48" s="202"/>
      <c r="J48" s="113"/>
      <c r="K48" s="55"/>
      <c r="L48" s="55"/>
      <c r="M48" s="50"/>
      <c r="N48" s="138"/>
      <c r="O48" s="137"/>
      <c r="P48" s="139"/>
      <c r="Q48" s="62" t="str">
        <f>IF(R9&gt;0.7,"Не достатня сума авансу",Q49)</f>
        <v>Не достатня сума авансу</v>
      </c>
      <c r="S48" s="74"/>
      <c r="T48" s="74"/>
      <c r="U48" s="74"/>
      <c r="V48" s="74"/>
      <c r="W48" s="74"/>
      <c r="X48" s="74"/>
      <c r="Y48" s="74"/>
      <c r="AA48" s="196" t="e">
        <f t="shared" si="0"/>
        <v>#VALUE!</v>
      </c>
      <c r="AB48" s="185">
        <f t="shared" ca="1" si="6"/>
        <v>47412</v>
      </c>
      <c r="AC48" s="229">
        <f t="shared" si="14"/>
        <v>45</v>
      </c>
      <c r="AD48" s="230"/>
      <c r="AE48" s="83" t="e">
        <f t="shared" si="7"/>
        <v>#VALUE!</v>
      </c>
      <c r="AF48" s="84"/>
      <c r="AG48" s="235" t="e">
        <f t="shared" si="8"/>
        <v>#VALUE!</v>
      </c>
      <c r="AH48" s="236"/>
      <c r="AI48" s="237" t="e">
        <f t="shared" si="9"/>
        <v>#VALUE!</v>
      </c>
      <c r="AJ48" s="238"/>
      <c r="AK48" s="85">
        <f t="shared" ca="1" si="1"/>
        <v>47391</v>
      </c>
      <c r="AL48" s="229">
        <v>45</v>
      </c>
      <c r="AM48" s="230"/>
      <c r="AN48" s="86" t="e">
        <f t="shared" si="2"/>
        <v>#VALUE!</v>
      </c>
      <c r="AO48" s="87"/>
      <c r="AP48" s="231" t="e">
        <f t="shared" ca="1" si="3"/>
        <v>#VALUE!</v>
      </c>
      <c r="AQ48" s="232"/>
      <c r="AR48" s="233" t="e">
        <f t="shared" ca="1" si="4"/>
        <v>#VALUE!</v>
      </c>
      <c r="AS48" s="234"/>
      <c r="AT48" s="87" t="e">
        <f t="shared" ca="1" si="10"/>
        <v>#VALUE!</v>
      </c>
      <c r="AU48" s="75" t="e">
        <f t="shared" si="5"/>
        <v>#VALUE!</v>
      </c>
    </row>
    <row r="49" spans="1:50" ht="14.1" customHeight="1" x14ac:dyDescent="0.3">
      <c r="A49" s="43"/>
      <c r="B49" s="215">
        <f t="shared" si="15"/>
        <v>26</v>
      </c>
      <c r="C49" s="215"/>
      <c r="D49" s="205" t="e">
        <f t="shared" ref="D49:D59" si="19">IF(B48&lt;$E$12,AE29,"")</f>
        <v>#VALUE!</v>
      </c>
      <c r="E49" s="216" t="e">
        <f t="shared" ref="E49:E59" si="20">IF(B48&lt;$E$12,AG29,"")</f>
        <v>#VALUE!</v>
      </c>
      <c r="F49" s="216"/>
      <c r="G49" s="216" t="e">
        <f t="shared" ref="G49:G59" si="21">IF(B48&lt;$E$12,AI29,"")</f>
        <v>#VALUE!</v>
      </c>
      <c r="H49" s="216"/>
      <c r="I49" s="202"/>
      <c r="J49" s="53"/>
      <c r="K49" s="55"/>
      <c r="L49" s="55"/>
      <c r="M49" s="50"/>
      <c r="N49" s="138"/>
      <c r="O49" s="137"/>
      <c r="Q49" s="62" t="str">
        <f>IF(E4&gt;2500000,Q50,Q53)</f>
        <v>Не достатня сума авансу</v>
      </c>
      <c r="S49" s="74"/>
      <c r="T49" s="74"/>
      <c r="U49" s="74"/>
      <c r="V49" s="74"/>
      <c r="W49" s="74"/>
      <c r="X49" s="74"/>
      <c r="Y49" s="74"/>
      <c r="AA49" s="196" t="e">
        <f t="shared" si="0"/>
        <v>#VALUE!</v>
      </c>
      <c r="AB49" s="185">
        <f t="shared" ca="1" si="6"/>
        <v>47443</v>
      </c>
      <c r="AC49" s="229">
        <f t="shared" si="14"/>
        <v>46</v>
      </c>
      <c r="AD49" s="230"/>
      <c r="AE49" s="83" t="e">
        <f t="shared" si="7"/>
        <v>#VALUE!</v>
      </c>
      <c r="AF49" s="84"/>
      <c r="AG49" s="235" t="e">
        <f t="shared" si="8"/>
        <v>#VALUE!</v>
      </c>
      <c r="AH49" s="236"/>
      <c r="AI49" s="237" t="e">
        <f t="shared" si="9"/>
        <v>#VALUE!</v>
      </c>
      <c r="AJ49" s="238"/>
      <c r="AK49" s="85">
        <f t="shared" ca="1" si="1"/>
        <v>47422</v>
      </c>
      <c r="AL49" s="229">
        <v>46</v>
      </c>
      <c r="AM49" s="230"/>
      <c r="AN49" s="86" t="e">
        <f t="shared" si="2"/>
        <v>#VALUE!</v>
      </c>
      <c r="AO49" s="87"/>
      <c r="AP49" s="231" t="e">
        <f t="shared" ca="1" si="3"/>
        <v>#VALUE!</v>
      </c>
      <c r="AQ49" s="232"/>
      <c r="AR49" s="233" t="e">
        <f t="shared" ca="1" si="4"/>
        <v>#VALUE!</v>
      </c>
      <c r="AS49" s="234"/>
      <c r="AT49" s="87" t="e">
        <f t="shared" ca="1" si="10"/>
        <v>#VALUE!</v>
      </c>
      <c r="AU49" s="75" t="e">
        <f t="shared" si="5"/>
        <v>#VALUE!</v>
      </c>
    </row>
    <row r="50" spans="1:50" ht="14.1" customHeight="1" thickBot="1" x14ac:dyDescent="0.35">
      <c r="A50" s="43"/>
      <c r="B50" s="215">
        <f t="shared" si="15"/>
        <v>27</v>
      </c>
      <c r="C50" s="215"/>
      <c r="D50" s="205" t="e">
        <f t="shared" si="19"/>
        <v>#VALUE!</v>
      </c>
      <c r="E50" s="216" t="e">
        <f t="shared" si="20"/>
        <v>#VALUE!</v>
      </c>
      <c r="F50" s="216"/>
      <c r="G50" s="216" t="e">
        <f t="shared" si="21"/>
        <v>#VALUE!</v>
      </c>
      <c r="H50" s="216"/>
      <c r="I50" s="202"/>
      <c r="J50" s="53"/>
      <c r="K50" s="55"/>
      <c r="L50" s="55"/>
      <c r="M50" s="50"/>
      <c r="N50" s="138"/>
      <c r="O50" s="137"/>
      <c r="Q50" s="62" t="str">
        <f>IF(R9&gt;0.6,"Не достатня сума авансу",Q53)</f>
        <v>Не достатня сума авансу</v>
      </c>
      <c r="S50" s="74"/>
      <c r="AA50" s="196" t="e">
        <f t="shared" si="0"/>
        <v>#VALUE!</v>
      </c>
      <c r="AB50" s="185">
        <f t="shared" ca="1" si="6"/>
        <v>47473</v>
      </c>
      <c r="AC50" s="229">
        <f t="shared" si="14"/>
        <v>47</v>
      </c>
      <c r="AD50" s="230"/>
      <c r="AE50" s="83" t="e">
        <f t="shared" si="7"/>
        <v>#VALUE!</v>
      </c>
      <c r="AF50" s="84"/>
      <c r="AG50" s="235" t="e">
        <f t="shared" si="8"/>
        <v>#VALUE!</v>
      </c>
      <c r="AH50" s="236"/>
      <c r="AI50" s="237" t="e">
        <f t="shared" si="9"/>
        <v>#VALUE!</v>
      </c>
      <c r="AJ50" s="238"/>
      <c r="AK50" s="85">
        <f t="shared" ca="1" si="1"/>
        <v>47452</v>
      </c>
      <c r="AL50" s="229">
        <v>47</v>
      </c>
      <c r="AM50" s="230"/>
      <c r="AN50" s="86" t="e">
        <f t="shared" si="2"/>
        <v>#VALUE!</v>
      </c>
      <c r="AO50" s="87"/>
      <c r="AP50" s="231" t="e">
        <f t="shared" ca="1" si="3"/>
        <v>#VALUE!</v>
      </c>
      <c r="AQ50" s="232"/>
      <c r="AR50" s="233" t="e">
        <f t="shared" ca="1" si="4"/>
        <v>#VALUE!</v>
      </c>
      <c r="AS50" s="234"/>
      <c r="AT50" s="87" t="e">
        <f t="shared" ca="1" si="10"/>
        <v>#VALUE!</v>
      </c>
      <c r="AU50" s="75" t="e">
        <f t="shared" si="5"/>
        <v>#VALUE!</v>
      </c>
    </row>
    <row r="51" spans="1:50" ht="14.1" customHeight="1" x14ac:dyDescent="0.3">
      <c r="A51" s="43"/>
      <c r="B51" s="215">
        <f t="shared" si="15"/>
        <v>28</v>
      </c>
      <c r="C51" s="215"/>
      <c r="D51" s="205" t="e">
        <f t="shared" si="19"/>
        <v>#VALUE!</v>
      </c>
      <c r="E51" s="216" t="e">
        <f t="shared" si="20"/>
        <v>#VALUE!</v>
      </c>
      <c r="F51" s="216"/>
      <c r="G51" s="216" t="e">
        <f t="shared" si="21"/>
        <v>#VALUE!</v>
      </c>
      <c r="H51" s="216"/>
      <c r="I51" s="202"/>
      <c r="J51" s="53"/>
      <c r="K51" s="140" t="s">
        <v>282</v>
      </c>
      <c r="L51" s="55"/>
      <c r="M51" s="54"/>
      <c r="N51" s="138"/>
      <c r="O51" s="137"/>
      <c r="S51" s="74"/>
      <c r="AA51" s="196" t="str">
        <f>IFERROR(AI51+Z52,"-")</f>
        <v>-</v>
      </c>
      <c r="AB51" s="185">
        <f t="shared" ca="1" si="6"/>
        <v>47504</v>
      </c>
      <c r="AC51" s="229">
        <f t="shared" si="14"/>
        <v>48</v>
      </c>
      <c r="AD51" s="230"/>
      <c r="AE51" s="83" t="e">
        <f t="shared" si="7"/>
        <v>#VALUE!</v>
      </c>
      <c r="AF51" s="84"/>
      <c r="AG51" s="235" t="e">
        <f t="shared" si="8"/>
        <v>#VALUE!</v>
      </c>
      <c r="AH51" s="236"/>
      <c r="AI51" s="237" t="e">
        <f t="shared" si="9"/>
        <v>#VALUE!</v>
      </c>
      <c r="AJ51" s="238"/>
      <c r="AK51" s="85">
        <f t="shared" ca="1" si="1"/>
        <v>47483</v>
      </c>
      <c r="AL51" s="229">
        <v>48</v>
      </c>
      <c r="AM51" s="230"/>
      <c r="AN51" s="86" t="e">
        <f t="shared" si="2"/>
        <v>#VALUE!</v>
      </c>
      <c r="AO51" s="87"/>
      <c r="AP51" s="231" t="e">
        <f t="shared" ca="1" si="3"/>
        <v>#VALUE!</v>
      </c>
      <c r="AQ51" s="232"/>
      <c r="AR51" s="233" t="e">
        <f t="shared" ca="1" si="4"/>
        <v>#VALUE!</v>
      </c>
      <c r="AS51" s="234"/>
      <c r="AT51" s="87" t="e">
        <f t="shared" ca="1" si="10"/>
        <v>#VALUE!</v>
      </c>
      <c r="AU51" s="75" t="e">
        <f t="shared" si="5"/>
        <v>#VALUE!</v>
      </c>
    </row>
    <row r="52" spans="1:50" ht="14.1" customHeight="1" x14ac:dyDescent="0.3">
      <c r="A52" s="43"/>
      <c r="B52" s="215">
        <f t="shared" si="15"/>
        <v>29</v>
      </c>
      <c r="C52" s="215"/>
      <c r="D52" s="205" t="e">
        <f t="shared" si="19"/>
        <v>#VALUE!</v>
      </c>
      <c r="E52" s="216" t="e">
        <f t="shared" si="20"/>
        <v>#VALUE!</v>
      </c>
      <c r="F52" s="216"/>
      <c r="G52" s="216" t="e">
        <f t="shared" si="21"/>
        <v>#VALUE!</v>
      </c>
      <c r="H52" s="216"/>
      <c r="I52" s="202"/>
      <c r="J52" s="53"/>
      <c r="K52" s="141"/>
      <c r="L52" s="55"/>
      <c r="M52" s="54"/>
      <c r="N52" s="138"/>
      <c r="O52" s="137"/>
      <c r="S52" s="74"/>
      <c r="T52" s="74"/>
      <c r="U52" s="74"/>
      <c r="Z52" s="116">
        <f>IF($V$26&gt;AC52,$E$4*0.9*0.9*0.9*0.9*5.49%,0)</f>
        <v>91850.719500000007</v>
      </c>
      <c r="AA52" s="196" t="e">
        <f t="shared" si="0"/>
        <v>#VALUE!</v>
      </c>
      <c r="AB52" s="185">
        <f t="shared" ca="1" si="6"/>
        <v>47535</v>
      </c>
      <c r="AC52" s="229">
        <f t="shared" si="14"/>
        <v>49</v>
      </c>
      <c r="AD52" s="230"/>
      <c r="AE52" s="83" t="e">
        <f t="shared" si="7"/>
        <v>#VALUE!</v>
      </c>
      <c r="AF52" s="84"/>
      <c r="AG52" s="235" t="e">
        <f t="shared" si="8"/>
        <v>#VALUE!</v>
      </c>
      <c r="AH52" s="236"/>
      <c r="AI52" s="237" t="e">
        <f t="shared" si="9"/>
        <v>#VALUE!</v>
      </c>
      <c r="AJ52" s="238"/>
      <c r="AK52" s="85">
        <f t="shared" ca="1" si="1"/>
        <v>47514</v>
      </c>
      <c r="AL52" s="229">
        <v>49</v>
      </c>
      <c r="AM52" s="230"/>
      <c r="AN52" s="86" t="e">
        <f t="shared" si="2"/>
        <v>#VALUE!</v>
      </c>
      <c r="AO52" s="87"/>
      <c r="AP52" s="231" t="e">
        <f t="shared" ca="1" si="3"/>
        <v>#VALUE!</v>
      </c>
      <c r="AQ52" s="232"/>
      <c r="AR52" s="233" t="e">
        <f t="shared" ca="1" si="4"/>
        <v>#VALUE!</v>
      </c>
      <c r="AS52" s="234"/>
      <c r="AT52" s="87" t="e">
        <f t="shared" ca="1" si="10"/>
        <v>#VALUE!</v>
      </c>
      <c r="AU52" s="75" t="e">
        <f>AI52+AW52+AX52</f>
        <v>#VALUE!</v>
      </c>
      <c r="AW52" s="63">
        <f>IF($E$12&gt;$R$5,$E$4*0.9*0.9*0.9*0.9*5.5%,"")</f>
        <v>92018.024999999994</v>
      </c>
      <c r="AX52" s="63" t="e">
        <f>IF(#REF!=0,0,IF($E$12&gt;$R$5,(AE90-SUM(AE4:AE51))*0.0299,""))</f>
        <v>#REF!</v>
      </c>
    </row>
    <row r="53" spans="1:50" ht="14.1" customHeight="1" thickBot="1" x14ac:dyDescent="0.35">
      <c r="A53" s="43"/>
      <c r="B53" s="215">
        <f t="shared" si="15"/>
        <v>30</v>
      </c>
      <c r="C53" s="215"/>
      <c r="D53" s="205" t="e">
        <f t="shared" si="19"/>
        <v>#VALUE!</v>
      </c>
      <c r="E53" s="216" t="e">
        <f t="shared" si="20"/>
        <v>#VALUE!</v>
      </c>
      <c r="F53" s="216"/>
      <c r="G53" s="216" t="e">
        <f t="shared" si="21"/>
        <v>#VALUE!</v>
      </c>
      <c r="H53" s="216"/>
      <c r="I53" s="202"/>
      <c r="J53" s="53"/>
      <c r="K53" s="142"/>
      <c r="L53" s="55"/>
      <c r="M53" s="50"/>
      <c r="N53" s="138"/>
      <c r="O53" s="137"/>
      <c r="Q53" s="62">
        <f>IF(X4=3,0,IF(R16&gt;2500000,"Сума кредиту не може перевищувати 2 500 000 грн",IF(R16&lt;100000,"Сума кредиту не може бути менше 100 000 грн",R16)))</f>
        <v>1669995</v>
      </c>
      <c r="S53" s="74"/>
      <c r="AA53" s="196" t="e">
        <f t="shared" si="0"/>
        <v>#VALUE!</v>
      </c>
      <c r="AB53" s="185">
        <f t="shared" ca="1" si="6"/>
        <v>47563</v>
      </c>
      <c r="AC53" s="229">
        <f t="shared" si="14"/>
        <v>50</v>
      </c>
      <c r="AD53" s="230"/>
      <c r="AE53" s="83" t="e">
        <f t="shared" si="7"/>
        <v>#VALUE!</v>
      </c>
      <c r="AF53" s="84"/>
      <c r="AG53" s="235" t="e">
        <f t="shared" si="8"/>
        <v>#VALUE!</v>
      </c>
      <c r="AH53" s="236"/>
      <c r="AI53" s="237" t="e">
        <f t="shared" si="9"/>
        <v>#VALUE!</v>
      </c>
      <c r="AJ53" s="238"/>
      <c r="AK53" s="85">
        <f t="shared" ca="1" si="1"/>
        <v>47542</v>
      </c>
      <c r="AL53" s="229">
        <v>50</v>
      </c>
      <c r="AM53" s="230"/>
      <c r="AN53" s="86" t="e">
        <f t="shared" si="2"/>
        <v>#VALUE!</v>
      </c>
      <c r="AO53" s="87"/>
      <c r="AP53" s="231" t="e">
        <f t="shared" ca="1" si="3"/>
        <v>#VALUE!</v>
      </c>
      <c r="AQ53" s="232"/>
      <c r="AR53" s="233" t="e">
        <f t="shared" ca="1" si="4"/>
        <v>#VALUE!</v>
      </c>
      <c r="AS53" s="234"/>
      <c r="AT53" s="87" t="e">
        <f t="shared" ca="1" si="10"/>
        <v>#VALUE!</v>
      </c>
      <c r="AU53" s="75" t="e">
        <f t="shared" si="5"/>
        <v>#VALUE!</v>
      </c>
    </row>
    <row r="54" spans="1:50" ht="14.1" customHeight="1" x14ac:dyDescent="0.3">
      <c r="A54" s="43"/>
      <c r="B54" s="215">
        <f t="shared" si="15"/>
        <v>31</v>
      </c>
      <c r="C54" s="215"/>
      <c r="D54" s="205" t="e">
        <f t="shared" si="19"/>
        <v>#VALUE!</v>
      </c>
      <c r="E54" s="216" t="e">
        <f t="shared" si="20"/>
        <v>#VALUE!</v>
      </c>
      <c r="F54" s="216"/>
      <c r="G54" s="216" t="e">
        <f t="shared" si="21"/>
        <v>#VALUE!</v>
      </c>
      <c r="H54" s="216"/>
      <c r="I54" s="202"/>
      <c r="J54" s="113"/>
      <c r="K54" s="113"/>
      <c r="L54" s="55"/>
      <c r="M54" s="113"/>
      <c r="N54" s="113"/>
      <c r="O54" s="139"/>
      <c r="P54" s="139"/>
      <c r="S54" s="74"/>
      <c r="AA54" s="196" t="e">
        <f t="shared" si="0"/>
        <v>#VALUE!</v>
      </c>
      <c r="AB54" s="185">
        <f t="shared" ca="1" si="6"/>
        <v>47594</v>
      </c>
      <c r="AC54" s="229">
        <f t="shared" si="14"/>
        <v>51</v>
      </c>
      <c r="AD54" s="230"/>
      <c r="AE54" s="83" t="e">
        <f t="shared" si="7"/>
        <v>#VALUE!</v>
      </c>
      <c r="AF54" s="84"/>
      <c r="AG54" s="235" t="e">
        <f t="shared" si="8"/>
        <v>#VALUE!</v>
      </c>
      <c r="AH54" s="236"/>
      <c r="AI54" s="237" t="e">
        <f t="shared" si="9"/>
        <v>#VALUE!</v>
      </c>
      <c r="AJ54" s="238"/>
      <c r="AK54" s="85">
        <f t="shared" ca="1" si="1"/>
        <v>47573</v>
      </c>
      <c r="AL54" s="229">
        <v>51</v>
      </c>
      <c r="AM54" s="230"/>
      <c r="AN54" s="86" t="e">
        <f t="shared" si="2"/>
        <v>#VALUE!</v>
      </c>
      <c r="AO54" s="87"/>
      <c r="AP54" s="231" t="e">
        <f t="shared" ca="1" si="3"/>
        <v>#VALUE!</v>
      </c>
      <c r="AQ54" s="232"/>
      <c r="AR54" s="233" t="e">
        <f t="shared" ca="1" si="4"/>
        <v>#VALUE!</v>
      </c>
      <c r="AS54" s="234"/>
      <c r="AT54" s="87" t="e">
        <f t="shared" ca="1" si="10"/>
        <v>#VALUE!</v>
      </c>
      <c r="AU54" s="75" t="e">
        <f t="shared" si="5"/>
        <v>#VALUE!</v>
      </c>
    </row>
    <row r="55" spans="1:50" ht="14.1" customHeight="1" x14ac:dyDescent="0.3">
      <c r="A55" s="43"/>
      <c r="B55" s="215">
        <f t="shared" si="15"/>
        <v>32</v>
      </c>
      <c r="C55" s="215"/>
      <c r="D55" s="205" t="e">
        <f t="shared" si="19"/>
        <v>#VALUE!</v>
      </c>
      <c r="E55" s="216" t="e">
        <f t="shared" si="20"/>
        <v>#VALUE!</v>
      </c>
      <c r="F55" s="216"/>
      <c r="G55" s="216" t="e">
        <f t="shared" si="21"/>
        <v>#VALUE!</v>
      </c>
      <c r="H55" s="216"/>
      <c r="I55" s="202"/>
      <c r="J55" s="53"/>
      <c r="K55" s="53"/>
      <c r="L55" s="53"/>
      <c r="M55" s="53"/>
      <c r="N55" s="50"/>
      <c r="O55" s="98"/>
      <c r="S55" s="74"/>
      <c r="AA55" s="196" t="e">
        <f t="shared" si="0"/>
        <v>#VALUE!</v>
      </c>
      <c r="AB55" s="185">
        <f t="shared" ca="1" si="6"/>
        <v>47624</v>
      </c>
      <c r="AC55" s="229">
        <f t="shared" si="14"/>
        <v>52</v>
      </c>
      <c r="AD55" s="230"/>
      <c r="AE55" s="83" t="e">
        <f t="shared" si="7"/>
        <v>#VALUE!</v>
      </c>
      <c r="AF55" s="84"/>
      <c r="AG55" s="235" t="e">
        <f t="shared" si="8"/>
        <v>#VALUE!</v>
      </c>
      <c r="AH55" s="236"/>
      <c r="AI55" s="237" t="e">
        <f t="shared" si="9"/>
        <v>#VALUE!</v>
      </c>
      <c r="AJ55" s="238"/>
      <c r="AK55" s="85">
        <f t="shared" ca="1" si="1"/>
        <v>47603</v>
      </c>
      <c r="AL55" s="229">
        <v>52</v>
      </c>
      <c r="AM55" s="230"/>
      <c r="AN55" s="86" t="e">
        <f t="shared" si="2"/>
        <v>#VALUE!</v>
      </c>
      <c r="AO55" s="87"/>
      <c r="AP55" s="231" t="e">
        <f t="shared" ca="1" si="3"/>
        <v>#VALUE!</v>
      </c>
      <c r="AQ55" s="232"/>
      <c r="AR55" s="233" t="e">
        <f t="shared" ca="1" si="4"/>
        <v>#VALUE!</v>
      </c>
      <c r="AS55" s="234"/>
      <c r="AT55" s="87" t="e">
        <f t="shared" ca="1" si="10"/>
        <v>#VALUE!</v>
      </c>
      <c r="AU55" s="75" t="e">
        <f t="shared" si="5"/>
        <v>#VALUE!</v>
      </c>
    </row>
    <row r="56" spans="1:50" ht="14.1" customHeight="1" x14ac:dyDescent="0.3">
      <c r="A56" s="43"/>
      <c r="B56" s="215">
        <f t="shared" si="15"/>
        <v>33</v>
      </c>
      <c r="C56" s="215"/>
      <c r="D56" s="205" t="e">
        <f t="shared" si="19"/>
        <v>#VALUE!</v>
      </c>
      <c r="E56" s="216" t="e">
        <f t="shared" si="20"/>
        <v>#VALUE!</v>
      </c>
      <c r="F56" s="216"/>
      <c r="G56" s="216" t="e">
        <f t="shared" si="21"/>
        <v>#VALUE!</v>
      </c>
      <c r="H56" s="216"/>
      <c r="I56" s="202"/>
      <c r="J56" s="53"/>
      <c r="K56" s="53"/>
      <c r="L56" s="53"/>
      <c r="M56" s="53"/>
      <c r="N56" s="50"/>
      <c r="O56" s="98"/>
      <c r="AA56" s="196" t="e">
        <f t="shared" si="0"/>
        <v>#VALUE!</v>
      </c>
      <c r="AB56" s="185">
        <f t="shared" ca="1" si="6"/>
        <v>47655</v>
      </c>
      <c r="AC56" s="229">
        <f t="shared" si="14"/>
        <v>53</v>
      </c>
      <c r="AD56" s="230"/>
      <c r="AE56" s="83" t="e">
        <f t="shared" si="7"/>
        <v>#VALUE!</v>
      </c>
      <c r="AF56" s="84"/>
      <c r="AG56" s="235" t="e">
        <f t="shared" si="8"/>
        <v>#VALUE!</v>
      </c>
      <c r="AH56" s="236"/>
      <c r="AI56" s="237" t="e">
        <f t="shared" si="9"/>
        <v>#VALUE!</v>
      </c>
      <c r="AJ56" s="238"/>
      <c r="AK56" s="85">
        <f t="shared" ca="1" si="1"/>
        <v>47634</v>
      </c>
      <c r="AL56" s="229">
        <v>53</v>
      </c>
      <c r="AM56" s="230"/>
      <c r="AN56" s="86" t="e">
        <f t="shared" si="2"/>
        <v>#VALUE!</v>
      </c>
      <c r="AO56" s="87"/>
      <c r="AP56" s="231" t="e">
        <f t="shared" ca="1" si="3"/>
        <v>#VALUE!</v>
      </c>
      <c r="AQ56" s="232"/>
      <c r="AR56" s="233" t="e">
        <f t="shared" ca="1" si="4"/>
        <v>#VALUE!</v>
      </c>
      <c r="AS56" s="234"/>
      <c r="AT56" s="87" t="e">
        <f t="shared" ca="1" si="10"/>
        <v>#VALUE!</v>
      </c>
      <c r="AU56" s="75" t="e">
        <f t="shared" si="5"/>
        <v>#VALUE!</v>
      </c>
    </row>
    <row r="57" spans="1:50" ht="14.1" customHeight="1" x14ac:dyDescent="0.3">
      <c r="A57" s="43"/>
      <c r="B57" s="215">
        <f t="shared" si="15"/>
        <v>34</v>
      </c>
      <c r="C57" s="215"/>
      <c r="D57" s="205" t="e">
        <f t="shared" si="19"/>
        <v>#VALUE!</v>
      </c>
      <c r="E57" s="216" t="e">
        <f t="shared" si="20"/>
        <v>#VALUE!</v>
      </c>
      <c r="F57" s="216"/>
      <c r="G57" s="216" t="e">
        <f t="shared" si="21"/>
        <v>#VALUE!</v>
      </c>
      <c r="H57" s="216"/>
      <c r="I57" s="202"/>
      <c r="J57" s="53"/>
      <c r="K57" s="53"/>
      <c r="L57" s="53"/>
      <c r="M57" s="53"/>
      <c r="N57" s="50"/>
      <c r="O57" s="98"/>
      <c r="AA57" s="196" t="e">
        <f t="shared" si="0"/>
        <v>#VALUE!</v>
      </c>
      <c r="AB57" s="185">
        <f t="shared" ca="1" si="6"/>
        <v>47685</v>
      </c>
      <c r="AC57" s="229">
        <f t="shared" si="14"/>
        <v>54</v>
      </c>
      <c r="AD57" s="230"/>
      <c r="AE57" s="83" t="e">
        <f t="shared" si="7"/>
        <v>#VALUE!</v>
      </c>
      <c r="AF57" s="84"/>
      <c r="AG57" s="235" t="e">
        <f t="shared" si="8"/>
        <v>#VALUE!</v>
      </c>
      <c r="AH57" s="236"/>
      <c r="AI57" s="237" t="e">
        <f t="shared" si="9"/>
        <v>#VALUE!</v>
      </c>
      <c r="AJ57" s="238"/>
      <c r="AK57" s="85">
        <f t="shared" ca="1" si="1"/>
        <v>47664</v>
      </c>
      <c r="AL57" s="229">
        <v>54</v>
      </c>
      <c r="AM57" s="230"/>
      <c r="AN57" s="86" t="e">
        <f t="shared" si="2"/>
        <v>#VALUE!</v>
      </c>
      <c r="AO57" s="87"/>
      <c r="AP57" s="231" t="e">
        <f t="shared" ca="1" si="3"/>
        <v>#VALUE!</v>
      </c>
      <c r="AQ57" s="232"/>
      <c r="AR57" s="233" t="e">
        <f t="shared" ca="1" si="4"/>
        <v>#VALUE!</v>
      </c>
      <c r="AS57" s="234"/>
      <c r="AT57" s="87" t="e">
        <f t="shared" ca="1" si="10"/>
        <v>#VALUE!</v>
      </c>
      <c r="AU57" s="75" t="e">
        <f t="shared" si="5"/>
        <v>#VALUE!</v>
      </c>
    </row>
    <row r="58" spans="1:50" ht="14.1" customHeight="1" x14ac:dyDescent="0.3">
      <c r="A58" s="43"/>
      <c r="B58" s="215">
        <f t="shared" si="15"/>
        <v>35</v>
      </c>
      <c r="C58" s="215"/>
      <c r="D58" s="205" t="e">
        <f t="shared" si="19"/>
        <v>#VALUE!</v>
      </c>
      <c r="E58" s="216" t="e">
        <f t="shared" si="20"/>
        <v>#VALUE!</v>
      </c>
      <c r="F58" s="216"/>
      <c r="G58" s="216" t="e">
        <f t="shared" si="21"/>
        <v>#VALUE!</v>
      </c>
      <c r="H58" s="216"/>
      <c r="I58" s="202"/>
      <c r="J58" s="53"/>
      <c r="K58" s="53"/>
      <c r="L58" s="53"/>
      <c r="M58" s="53"/>
      <c r="N58" s="50"/>
      <c r="O58" s="98"/>
      <c r="S58" s="74"/>
      <c r="AA58" s="196" t="e">
        <f t="shared" si="0"/>
        <v>#VALUE!</v>
      </c>
      <c r="AB58" s="185">
        <f t="shared" ca="1" si="6"/>
        <v>47716</v>
      </c>
      <c r="AC58" s="229">
        <f t="shared" si="14"/>
        <v>55</v>
      </c>
      <c r="AD58" s="230"/>
      <c r="AE58" s="83" t="e">
        <f t="shared" si="7"/>
        <v>#VALUE!</v>
      </c>
      <c r="AF58" s="84"/>
      <c r="AG58" s="235" t="e">
        <f t="shared" si="8"/>
        <v>#VALUE!</v>
      </c>
      <c r="AH58" s="236"/>
      <c r="AI58" s="237" t="e">
        <f t="shared" si="9"/>
        <v>#VALUE!</v>
      </c>
      <c r="AJ58" s="238"/>
      <c r="AK58" s="85">
        <f t="shared" ca="1" si="1"/>
        <v>47695</v>
      </c>
      <c r="AL58" s="229">
        <v>55</v>
      </c>
      <c r="AM58" s="230"/>
      <c r="AN58" s="86" t="e">
        <f t="shared" si="2"/>
        <v>#VALUE!</v>
      </c>
      <c r="AO58" s="87"/>
      <c r="AP58" s="231" t="e">
        <f t="shared" ca="1" si="3"/>
        <v>#VALUE!</v>
      </c>
      <c r="AQ58" s="232"/>
      <c r="AR58" s="233" t="e">
        <f t="shared" ca="1" si="4"/>
        <v>#VALUE!</v>
      </c>
      <c r="AS58" s="234"/>
      <c r="AT58" s="87" t="e">
        <f t="shared" ca="1" si="10"/>
        <v>#VALUE!</v>
      </c>
      <c r="AU58" s="75" t="e">
        <f t="shared" si="5"/>
        <v>#VALUE!</v>
      </c>
    </row>
    <row r="59" spans="1:50" ht="14.1" customHeight="1" x14ac:dyDescent="0.3">
      <c r="A59" s="43"/>
      <c r="B59" s="215">
        <f t="shared" si="15"/>
        <v>36</v>
      </c>
      <c r="C59" s="215"/>
      <c r="D59" s="205" t="e">
        <f t="shared" si="19"/>
        <v>#VALUE!</v>
      </c>
      <c r="E59" s="216" t="e">
        <f t="shared" si="20"/>
        <v>#VALUE!</v>
      </c>
      <c r="F59" s="216"/>
      <c r="G59" s="216" t="e">
        <f t="shared" si="21"/>
        <v>#VALUE!</v>
      </c>
      <c r="H59" s="216"/>
      <c r="I59" s="202"/>
      <c r="J59" s="53"/>
      <c r="K59" s="53"/>
      <c r="L59" s="53"/>
      <c r="M59" s="53"/>
      <c r="N59" s="50"/>
      <c r="O59" s="98"/>
      <c r="S59" s="74"/>
      <c r="AA59" s="196" t="e">
        <f t="shared" si="0"/>
        <v>#VALUE!</v>
      </c>
      <c r="AB59" s="185">
        <f t="shared" ca="1" si="6"/>
        <v>47747</v>
      </c>
      <c r="AC59" s="229">
        <f t="shared" si="14"/>
        <v>56</v>
      </c>
      <c r="AD59" s="230"/>
      <c r="AE59" s="83" t="e">
        <f t="shared" si="7"/>
        <v>#VALUE!</v>
      </c>
      <c r="AF59" s="84"/>
      <c r="AG59" s="235" t="e">
        <f t="shared" si="8"/>
        <v>#VALUE!</v>
      </c>
      <c r="AH59" s="236"/>
      <c r="AI59" s="237" t="e">
        <f t="shared" si="9"/>
        <v>#VALUE!</v>
      </c>
      <c r="AJ59" s="238"/>
      <c r="AK59" s="85">
        <f t="shared" ca="1" si="1"/>
        <v>47726</v>
      </c>
      <c r="AL59" s="229">
        <v>56</v>
      </c>
      <c r="AM59" s="230"/>
      <c r="AN59" s="86" t="e">
        <f t="shared" si="2"/>
        <v>#VALUE!</v>
      </c>
      <c r="AO59" s="87"/>
      <c r="AP59" s="231" t="e">
        <f t="shared" ca="1" si="3"/>
        <v>#VALUE!</v>
      </c>
      <c r="AQ59" s="232"/>
      <c r="AR59" s="233" t="e">
        <f t="shared" ca="1" si="4"/>
        <v>#VALUE!</v>
      </c>
      <c r="AS59" s="234"/>
      <c r="AT59" s="87" t="e">
        <f t="shared" ca="1" si="10"/>
        <v>#VALUE!</v>
      </c>
      <c r="AU59" s="75" t="e">
        <f t="shared" si="5"/>
        <v>#VALUE!</v>
      </c>
    </row>
    <row r="60" spans="1:50" ht="14.1" customHeight="1" x14ac:dyDescent="0.3">
      <c r="A60" s="43"/>
      <c r="B60" s="215">
        <f>IF(E12=36,"Всього:",IF(B59&lt;$E$12,B59+1,""))</f>
        <v>37</v>
      </c>
      <c r="C60" s="215"/>
      <c r="D60" s="205" t="e">
        <f>IF(E12=36,SUM(D24:D59),IF(B59&lt;$E$12,AE40,""))</f>
        <v>#VALUE!</v>
      </c>
      <c r="E60" s="216" t="e">
        <f>IF(E12=36,SUM(E24:F59),IF(B59&lt;$E$12,AG40,""))</f>
        <v>#VALUE!</v>
      </c>
      <c r="F60" s="216"/>
      <c r="G60" s="216" t="e">
        <f>IF(E12=36,SUM(G24:H59),IF(B59&lt;$E$12,AI40,""))</f>
        <v>#VALUE!</v>
      </c>
      <c r="H60" s="216"/>
      <c r="I60" s="202"/>
      <c r="J60" s="53"/>
      <c r="K60" s="53"/>
      <c r="L60" s="53"/>
      <c r="M60" s="53"/>
      <c r="N60" s="50"/>
      <c r="O60" s="98"/>
      <c r="S60" s="74"/>
      <c r="T60" s="74"/>
      <c r="U60" s="74"/>
      <c r="V60" s="74"/>
      <c r="W60" s="74"/>
      <c r="X60" s="74"/>
      <c r="Y60" s="74"/>
      <c r="AA60" s="196" t="e">
        <f t="shared" si="0"/>
        <v>#VALUE!</v>
      </c>
      <c r="AB60" s="185">
        <f t="shared" ca="1" si="6"/>
        <v>47777</v>
      </c>
      <c r="AC60" s="229">
        <f t="shared" si="14"/>
        <v>57</v>
      </c>
      <c r="AD60" s="230"/>
      <c r="AE60" s="83" t="e">
        <f t="shared" si="7"/>
        <v>#VALUE!</v>
      </c>
      <c r="AF60" s="84"/>
      <c r="AG60" s="235" t="e">
        <f t="shared" si="8"/>
        <v>#VALUE!</v>
      </c>
      <c r="AH60" s="236"/>
      <c r="AI60" s="237" t="e">
        <f t="shared" si="9"/>
        <v>#VALUE!</v>
      </c>
      <c r="AJ60" s="238"/>
      <c r="AK60" s="85">
        <f t="shared" ca="1" si="1"/>
        <v>47756</v>
      </c>
      <c r="AL60" s="229">
        <v>57</v>
      </c>
      <c r="AM60" s="230"/>
      <c r="AN60" s="86" t="e">
        <f t="shared" si="2"/>
        <v>#VALUE!</v>
      </c>
      <c r="AO60" s="87"/>
      <c r="AP60" s="231" t="e">
        <f t="shared" ca="1" si="3"/>
        <v>#VALUE!</v>
      </c>
      <c r="AQ60" s="232"/>
      <c r="AR60" s="233" t="e">
        <f t="shared" ca="1" si="4"/>
        <v>#VALUE!</v>
      </c>
      <c r="AS60" s="234"/>
      <c r="AT60" s="87" t="e">
        <f t="shared" ca="1" si="10"/>
        <v>#VALUE!</v>
      </c>
      <c r="AU60" s="75" t="e">
        <f t="shared" si="5"/>
        <v>#VALUE!</v>
      </c>
    </row>
    <row r="61" spans="1:50" ht="14.1" customHeight="1" x14ac:dyDescent="0.3">
      <c r="A61" s="43"/>
      <c r="B61" s="215">
        <f t="shared" si="15"/>
        <v>38</v>
      </c>
      <c r="C61" s="215"/>
      <c r="D61" s="205" t="e">
        <f t="shared" ref="D61:D71" si="22">IF(B60&lt;$E$12,AE41,"")</f>
        <v>#VALUE!</v>
      </c>
      <c r="E61" s="216" t="e">
        <f t="shared" ref="E61:E71" si="23">IF(B60&lt;$E$12,AG41,"")</f>
        <v>#VALUE!</v>
      </c>
      <c r="F61" s="216"/>
      <c r="G61" s="216" t="e">
        <f t="shared" ref="G61:G71" si="24">IF(B60&lt;$E$12,AI41,"")</f>
        <v>#VALUE!</v>
      </c>
      <c r="H61" s="216"/>
      <c r="I61" s="202"/>
      <c r="J61" s="53"/>
      <c r="K61" s="53"/>
      <c r="L61" s="53"/>
      <c r="M61" s="53"/>
      <c r="N61" s="50"/>
      <c r="O61" s="98"/>
      <c r="S61" s="74"/>
      <c r="U61" s="143"/>
      <c r="V61" s="116"/>
      <c r="W61" s="116"/>
      <c r="X61" s="116"/>
      <c r="Y61" s="116"/>
      <c r="AA61" s="196" t="e">
        <f t="shared" si="0"/>
        <v>#VALUE!</v>
      </c>
      <c r="AB61" s="185">
        <f t="shared" ca="1" si="6"/>
        <v>47808</v>
      </c>
      <c r="AC61" s="229">
        <f t="shared" si="14"/>
        <v>58</v>
      </c>
      <c r="AD61" s="230"/>
      <c r="AE61" s="83" t="e">
        <f t="shared" si="7"/>
        <v>#VALUE!</v>
      </c>
      <c r="AF61" s="84"/>
      <c r="AG61" s="235" t="e">
        <f t="shared" si="8"/>
        <v>#VALUE!</v>
      </c>
      <c r="AH61" s="236"/>
      <c r="AI61" s="237" t="e">
        <f t="shared" si="9"/>
        <v>#VALUE!</v>
      </c>
      <c r="AJ61" s="238"/>
      <c r="AK61" s="85">
        <f t="shared" ca="1" si="1"/>
        <v>47787</v>
      </c>
      <c r="AL61" s="229">
        <v>58</v>
      </c>
      <c r="AM61" s="230"/>
      <c r="AN61" s="86" t="e">
        <f t="shared" si="2"/>
        <v>#VALUE!</v>
      </c>
      <c r="AO61" s="87"/>
      <c r="AP61" s="231" t="e">
        <f t="shared" ca="1" si="3"/>
        <v>#VALUE!</v>
      </c>
      <c r="AQ61" s="232"/>
      <c r="AR61" s="233" t="e">
        <f t="shared" ca="1" si="4"/>
        <v>#VALUE!</v>
      </c>
      <c r="AS61" s="234"/>
      <c r="AT61" s="87" t="e">
        <f t="shared" ca="1" si="10"/>
        <v>#VALUE!</v>
      </c>
      <c r="AU61" s="75" t="e">
        <f t="shared" si="5"/>
        <v>#VALUE!</v>
      </c>
    </row>
    <row r="62" spans="1:50" ht="14.1" customHeight="1" x14ac:dyDescent="0.3">
      <c r="A62" s="43"/>
      <c r="B62" s="215">
        <f t="shared" si="15"/>
        <v>39</v>
      </c>
      <c r="C62" s="215"/>
      <c r="D62" s="205" t="e">
        <f t="shared" si="22"/>
        <v>#VALUE!</v>
      </c>
      <c r="E62" s="216" t="e">
        <f t="shared" si="23"/>
        <v>#VALUE!</v>
      </c>
      <c r="F62" s="216"/>
      <c r="G62" s="216" t="e">
        <f t="shared" si="24"/>
        <v>#VALUE!</v>
      </c>
      <c r="H62" s="216"/>
      <c r="I62" s="202"/>
      <c r="J62" s="53"/>
      <c r="K62" s="53"/>
      <c r="L62" s="53"/>
      <c r="M62" s="53"/>
      <c r="N62" s="50"/>
      <c r="O62" s="98"/>
      <c r="S62" s="74"/>
      <c r="W62" s="116"/>
      <c r="X62" s="116"/>
      <c r="AA62" s="196" t="e">
        <f t="shared" si="0"/>
        <v>#VALUE!</v>
      </c>
      <c r="AB62" s="185">
        <f t="shared" ca="1" si="6"/>
        <v>47838</v>
      </c>
      <c r="AC62" s="229">
        <f t="shared" si="14"/>
        <v>59</v>
      </c>
      <c r="AD62" s="230"/>
      <c r="AE62" s="83" t="e">
        <f t="shared" si="7"/>
        <v>#VALUE!</v>
      </c>
      <c r="AF62" s="84"/>
      <c r="AG62" s="235" t="e">
        <f t="shared" si="8"/>
        <v>#VALUE!</v>
      </c>
      <c r="AH62" s="236"/>
      <c r="AI62" s="237" t="e">
        <f t="shared" si="9"/>
        <v>#VALUE!</v>
      </c>
      <c r="AJ62" s="238"/>
      <c r="AK62" s="85">
        <f t="shared" ca="1" si="1"/>
        <v>47817</v>
      </c>
      <c r="AL62" s="229">
        <v>59</v>
      </c>
      <c r="AM62" s="230"/>
      <c r="AN62" s="86" t="e">
        <f t="shared" si="2"/>
        <v>#VALUE!</v>
      </c>
      <c r="AO62" s="87"/>
      <c r="AP62" s="231" t="e">
        <f t="shared" ca="1" si="3"/>
        <v>#VALUE!</v>
      </c>
      <c r="AQ62" s="232"/>
      <c r="AR62" s="233" t="e">
        <f t="shared" ca="1" si="4"/>
        <v>#VALUE!</v>
      </c>
      <c r="AS62" s="234"/>
      <c r="AT62" s="87" t="e">
        <f t="shared" ca="1" si="10"/>
        <v>#VALUE!</v>
      </c>
      <c r="AU62" s="75" t="e">
        <f t="shared" si="5"/>
        <v>#VALUE!</v>
      </c>
    </row>
    <row r="63" spans="1:50" ht="14.1" customHeight="1" x14ac:dyDescent="0.3">
      <c r="A63" s="43"/>
      <c r="B63" s="215">
        <f t="shared" si="15"/>
        <v>40</v>
      </c>
      <c r="C63" s="215"/>
      <c r="D63" s="205" t="e">
        <f t="shared" si="22"/>
        <v>#VALUE!</v>
      </c>
      <c r="E63" s="216" t="e">
        <f t="shared" si="23"/>
        <v>#VALUE!</v>
      </c>
      <c r="F63" s="216"/>
      <c r="G63" s="216" t="e">
        <f t="shared" si="24"/>
        <v>#VALUE!</v>
      </c>
      <c r="H63" s="216"/>
      <c r="I63" s="202"/>
      <c r="J63" s="53"/>
      <c r="K63" s="53"/>
      <c r="L63" s="53"/>
      <c r="M63" s="53"/>
      <c r="N63" s="50"/>
      <c r="O63" s="98"/>
      <c r="S63" s="74"/>
      <c r="AA63" s="196" t="str">
        <f>IFERROR(AI63+Z64,"-")</f>
        <v>-</v>
      </c>
      <c r="AB63" s="185">
        <f t="shared" ca="1" si="6"/>
        <v>47868</v>
      </c>
      <c r="AC63" s="229">
        <f t="shared" si="14"/>
        <v>60</v>
      </c>
      <c r="AD63" s="230"/>
      <c r="AE63" s="83" t="e">
        <f t="shared" si="7"/>
        <v>#VALUE!</v>
      </c>
      <c r="AF63" s="84"/>
      <c r="AG63" s="235" t="e">
        <f t="shared" si="8"/>
        <v>#VALUE!</v>
      </c>
      <c r="AH63" s="236"/>
      <c r="AI63" s="237" t="e">
        <f t="shared" si="9"/>
        <v>#VALUE!</v>
      </c>
      <c r="AJ63" s="238"/>
      <c r="AK63" s="85">
        <f t="shared" ca="1" si="1"/>
        <v>47848</v>
      </c>
      <c r="AL63" s="229">
        <v>60</v>
      </c>
      <c r="AM63" s="230"/>
      <c r="AN63" s="86" t="e">
        <f t="shared" si="2"/>
        <v>#VALUE!</v>
      </c>
      <c r="AO63" s="87"/>
      <c r="AP63" s="231" t="e">
        <f t="shared" ca="1" si="3"/>
        <v>#VALUE!</v>
      </c>
      <c r="AQ63" s="232"/>
      <c r="AR63" s="233" t="e">
        <f t="shared" ca="1" si="4"/>
        <v>#VALUE!</v>
      </c>
      <c r="AS63" s="234"/>
      <c r="AT63" s="87" t="e">
        <f t="shared" ca="1" si="10"/>
        <v>#VALUE!</v>
      </c>
      <c r="AU63" s="75" t="e">
        <f t="shared" si="5"/>
        <v>#VALUE!</v>
      </c>
    </row>
    <row r="64" spans="1:50" ht="14.1" customHeight="1" x14ac:dyDescent="0.3">
      <c r="A64" s="43"/>
      <c r="B64" s="215">
        <f t="shared" si="15"/>
        <v>41</v>
      </c>
      <c r="C64" s="215"/>
      <c r="D64" s="205" t="e">
        <f t="shared" si="22"/>
        <v>#VALUE!</v>
      </c>
      <c r="E64" s="216" t="e">
        <f t="shared" si="23"/>
        <v>#VALUE!</v>
      </c>
      <c r="F64" s="216"/>
      <c r="G64" s="216" t="e">
        <f t="shared" si="24"/>
        <v>#VALUE!</v>
      </c>
      <c r="H64" s="216"/>
      <c r="I64" s="202"/>
      <c r="J64" s="53"/>
      <c r="K64" s="53"/>
      <c r="L64" s="53"/>
      <c r="M64" s="53"/>
      <c r="N64" s="50"/>
      <c r="O64" s="98"/>
      <c r="S64" s="74"/>
      <c r="Z64" s="116">
        <f>IF($V$26&gt;AC64,$E$4*0.9*0.9*0.9*0.9*0.9*5.49%,0)</f>
        <v>0</v>
      </c>
      <c r="AA64" s="196" t="str">
        <f t="shared" si="0"/>
        <v>-</v>
      </c>
      <c r="AB64" s="185" t="str">
        <f t="shared" si="6"/>
        <v>-</v>
      </c>
      <c r="AC64" s="229">
        <f t="shared" si="14"/>
        <v>61</v>
      </c>
      <c r="AD64" s="230"/>
      <c r="AE64" s="83" t="str">
        <f t="shared" si="7"/>
        <v>-</v>
      </c>
      <c r="AF64" s="84"/>
      <c r="AG64" s="235" t="str">
        <f t="shared" si="8"/>
        <v>-</v>
      </c>
      <c r="AH64" s="236"/>
      <c r="AI64" s="237" t="str">
        <f t="shared" si="9"/>
        <v>-</v>
      </c>
      <c r="AJ64" s="238"/>
      <c r="AK64" s="85">
        <f t="shared" ca="1" si="1"/>
        <v>47879</v>
      </c>
      <c r="AL64" s="229">
        <v>61</v>
      </c>
      <c r="AM64" s="230"/>
      <c r="AN64" s="86" t="e">
        <f t="shared" si="2"/>
        <v>#VALUE!</v>
      </c>
      <c r="AO64" s="87"/>
      <c r="AP64" s="231" t="e">
        <f t="shared" ca="1" si="3"/>
        <v>#VALUE!</v>
      </c>
      <c r="AQ64" s="232"/>
      <c r="AR64" s="233" t="e">
        <f t="shared" ca="1" si="4"/>
        <v>#VALUE!</v>
      </c>
      <c r="AS64" s="234"/>
      <c r="AT64" s="87" t="e">
        <f t="shared" ca="1" si="10"/>
        <v>#VALUE!</v>
      </c>
      <c r="AU64" s="75" t="e">
        <f>AI64+AW64+AX64</f>
        <v>#VALUE!</v>
      </c>
      <c r="AW64" s="63" t="str">
        <f>IF($E$12&gt;$R$6,$E$4*0.9*0.9*0.9*0.9*0.9*5.5%,"")</f>
        <v/>
      </c>
      <c r="AX64" s="63" t="e">
        <f>IF(#REF!=0,0,IF($E$12&gt;$R$6,(AE90-SUM(AE4:AE63))*0.0299,""))</f>
        <v>#REF!</v>
      </c>
    </row>
    <row r="65" spans="1:50" ht="14.1" customHeight="1" x14ac:dyDescent="0.3">
      <c r="A65" s="43"/>
      <c r="B65" s="215">
        <f t="shared" si="15"/>
        <v>42</v>
      </c>
      <c r="C65" s="215"/>
      <c r="D65" s="205" t="e">
        <f t="shared" si="22"/>
        <v>#VALUE!</v>
      </c>
      <c r="E65" s="216" t="e">
        <f t="shared" si="23"/>
        <v>#VALUE!</v>
      </c>
      <c r="F65" s="216"/>
      <c r="G65" s="216" t="e">
        <f t="shared" si="24"/>
        <v>#VALUE!</v>
      </c>
      <c r="H65" s="216"/>
      <c r="I65" s="202"/>
      <c r="J65" s="53"/>
      <c r="K65" s="53"/>
      <c r="L65" s="53"/>
      <c r="M65" s="53"/>
      <c r="N65" s="50"/>
      <c r="O65" s="98"/>
      <c r="S65" s="74"/>
      <c r="AA65" s="196" t="str">
        <f t="shared" si="0"/>
        <v>-</v>
      </c>
      <c r="AB65" s="185" t="str">
        <f t="shared" si="6"/>
        <v>-</v>
      </c>
      <c r="AC65" s="229">
        <f t="shared" si="14"/>
        <v>62</v>
      </c>
      <c r="AD65" s="230"/>
      <c r="AE65" s="83" t="str">
        <f t="shared" si="7"/>
        <v>-</v>
      </c>
      <c r="AF65" s="84"/>
      <c r="AG65" s="235" t="str">
        <f t="shared" si="8"/>
        <v>-</v>
      </c>
      <c r="AH65" s="236"/>
      <c r="AI65" s="237" t="str">
        <f t="shared" si="9"/>
        <v>-</v>
      </c>
      <c r="AJ65" s="238"/>
      <c r="AK65" s="85">
        <f t="shared" ca="1" si="1"/>
        <v>47907</v>
      </c>
      <c r="AL65" s="229">
        <v>62</v>
      </c>
      <c r="AM65" s="230"/>
      <c r="AN65" s="86" t="e">
        <f t="shared" si="2"/>
        <v>#VALUE!</v>
      </c>
      <c r="AO65" s="87"/>
      <c r="AP65" s="231" t="e">
        <f t="shared" ca="1" si="3"/>
        <v>#VALUE!</v>
      </c>
      <c r="AQ65" s="232"/>
      <c r="AR65" s="233" t="e">
        <f t="shared" ca="1" si="4"/>
        <v>#VALUE!</v>
      </c>
      <c r="AS65" s="234"/>
      <c r="AT65" s="87" t="e">
        <f t="shared" ca="1" si="10"/>
        <v>#VALUE!</v>
      </c>
      <c r="AU65" s="75" t="str">
        <f t="shared" si="5"/>
        <v>-</v>
      </c>
    </row>
    <row r="66" spans="1:50" ht="14.1" customHeight="1" x14ac:dyDescent="0.3">
      <c r="A66" s="43"/>
      <c r="B66" s="215">
        <f t="shared" si="15"/>
        <v>43</v>
      </c>
      <c r="C66" s="215"/>
      <c r="D66" s="205" t="e">
        <f t="shared" si="22"/>
        <v>#VALUE!</v>
      </c>
      <c r="E66" s="216" t="e">
        <f t="shared" si="23"/>
        <v>#VALUE!</v>
      </c>
      <c r="F66" s="216"/>
      <c r="G66" s="216" t="e">
        <f t="shared" si="24"/>
        <v>#VALUE!</v>
      </c>
      <c r="H66" s="216"/>
      <c r="I66" s="202"/>
      <c r="J66" s="53"/>
      <c r="K66" s="53"/>
      <c r="L66" s="53"/>
      <c r="M66" s="53"/>
      <c r="N66" s="50"/>
      <c r="O66" s="98"/>
      <c r="S66" s="74"/>
      <c r="AA66" s="196" t="str">
        <f t="shared" si="0"/>
        <v>-</v>
      </c>
      <c r="AB66" s="185" t="str">
        <f t="shared" si="6"/>
        <v>-</v>
      </c>
      <c r="AC66" s="229">
        <f t="shared" si="14"/>
        <v>63</v>
      </c>
      <c r="AD66" s="230"/>
      <c r="AE66" s="83" t="str">
        <f t="shared" si="7"/>
        <v>-</v>
      </c>
      <c r="AF66" s="84"/>
      <c r="AG66" s="235" t="str">
        <f t="shared" si="8"/>
        <v>-</v>
      </c>
      <c r="AH66" s="236"/>
      <c r="AI66" s="237" t="str">
        <f t="shared" si="9"/>
        <v>-</v>
      </c>
      <c r="AJ66" s="238"/>
      <c r="AK66" s="85">
        <f t="shared" ca="1" si="1"/>
        <v>47938</v>
      </c>
      <c r="AL66" s="229">
        <v>63</v>
      </c>
      <c r="AM66" s="230"/>
      <c r="AN66" s="86" t="e">
        <f t="shared" si="2"/>
        <v>#VALUE!</v>
      </c>
      <c r="AO66" s="87"/>
      <c r="AP66" s="231" t="e">
        <f t="shared" ca="1" si="3"/>
        <v>#VALUE!</v>
      </c>
      <c r="AQ66" s="232"/>
      <c r="AR66" s="233" t="e">
        <f t="shared" ca="1" si="4"/>
        <v>#VALUE!</v>
      </c>
      <c r="AS66" s="234"/>
      <c r="AT66" s="87" t="e">
        <f t="shared" ca="1" si="10"/>
        <v>#VALUE!</v>
      </c>
      <c r="AU66" s="75" t="str">
        <f t="shared" si="5"/>
        <v>-</v>
      </c>
    </row>
    <row r="67" spans="1:50" ht="14.1" customHeight="1" x14ac:dyDescent="0.3">
      <c r="A67" s="43"/>
      <c r="B67" s="215">
        <f t="shared" si="15"/>
        <v>44</v>
      </c>
      <c r="C67" s="215"/>
      <c r="D67" s="205" t="e">
        <f t="shared" si="22"/>
        <v>#VALUE!</v>
      </c>
      <c r="E67" s="216" t="e">
        <f t="shared" si="23"/>
        <v>#VALUE!</v>
      </c>
      <c r="F67" s="216"/>
      <c r="G67" s="216" t="e">
        <f t="shared" si="24"/>
        <v>#VALUE!</v>
      </c>
      <c r="H67" s="216"/>
      <c r="I67" s="202"/>
      <c r="J67" s="53"/>
      <c r="K67" s="53"/>
      <c r="L67" s="53"/>
      <c r="M67" s="53"/>
      <c r="N67" s="50"/>
      <c r="O67" s="98"/>
      <c r="S67" s="74"/>
      <c r="AA67" s="196" t="str">
        <f t="shared" si="0"/>
        <v>-</v>
      </c>
      <c r="AB67" s="185" t="str">
        <f t="shared" si="6"/>
        <v>-</v>
      </c>
      <c r="AC67" s="229">
        <f t="shared" si="14"/>
        <v>64</v>
      </c>
      <c r="AD67" s="230"/>
      <c r="AE67" s="83" t="str">
        <f t="shared" si="7"/>
        <v>-</v>
      </c>
      <c r="AF67" s="84"/>
      <c r="AG67" s="235" t="str">
        <f t="shared" si="8"/>
        <v>-</v>
      </c>
      <c r="AH67" s="236"/>
      <c r="AI67" s="237" t="str">
        <f t="shared" si="9"/>
        <v>-</v>
      </c>
      <c r="AJ67" s="238"/>
      <c r="AK67" s="85">
        <f t="shared" ca="1" si="1"/>
        <v>47968</v>
      </c>
      <c r="AL67" s="229">
        <v>64</v>
      </c>
      <c r="AM67" s="230"/>
      <c r="AN67" s="86" t="e">
        <f t="shared" si="2"/>
        <v>#VALUE!</v>
      </c>
      <c r="AO67" s="87"/>
      <c r="AP67" s="231" t="e">
        <f t="shared" ca="1" si="3"/>
        <v>#VALUE!</v>
      </c>
      <c r="AQ67" s="232"/>
      <c r="AR67" s="233" t="e">
        <f t="shared" ca="1" si="4"/>
        <v>#VALUE!</v>
      </c>
      <c r="AS67" s="234"/>
      <c r="AT67" s="87" t="e">
        <f t="shared" ca="1" si="10"/>
        <v>#VALUE!</v>
      </c>
      <c r="AU67" s="75" t="str">
        <f t="shared" si="5"/>
        <v>-</v>
      </c>
    </row>
    <row r="68" spans="1:50" ht="14.1" customHeight="1" x14ac:dyDescent="0.3">
      <c r="A68" s="43"/>
      <c r="B68" s="215">
        <f t="shared" si="15"/>
        <v>45</v>
      </c>
      <c r="C68" s="215"/>
      <c r="D68" s="205" t="e">
        <f t="shared" si="22"/>
        <v>#VALUE!</v>
      </c>
      <c r="E68" s="216" t="e">
        <f t="shared" si="23"/>
        <v>#VALUE!</v>
      </c>
      <c r="F68" s="216"/>
      <c r="G68" s="216" t="e">
        <f t="shared" si="24"/>
        <v>#VALUE!</v>
      </c>
      <c r="H68" s="216"/>
      <c r="I68" s="202"/>
      <c r="J68" s="53"/>
      <c r="K68" s="53"/>
      <c r="L68" s="53"/>
      <c r="M68" s="53"/>
      <c r="N68" s="50"/>
      <c r="O68" s="98"/>
      <c r="S68" s="74"/>
      <c r="AA68" s="196" t="str">
        <f t="shared" si="0"/>
        <v>-</v>
      </c>
      <c r="AB68" s="185" t="str">
        <f t="shared" si="6"/>
        <v>-</v>
      </c>
      <c r="AC68" s="229">
        <f t="shared" si="14"/>
        <v>65</v>
      </c>
      <c r="AD68" s="230"/>
      <c r="AE68" s="83" t="str">
        <f t="shared" si="7"/>
        <v>-</v>
      </c>
      <c r="AF68" s="84"/>
      <c r="AG68" s="235" t="str">
        <f t="shared" si="8"/>
        <v>-</v>
      </c>
      <c r="AH68" s="236"/>
      <c r="AI68" s="237" t="str">
        <f t="shared" si="9"/>
        <v>-</v>
      </c>
      <c r="AJ68" s="238"/>
      <c r="AK68" s="85">
        <f t="shared" ca="1" si="1"/>
        <v>47999</v>
      </c>
      <c r="AL68" s="229">
        <v>65</v>
      </c>
      <c r="AM68" s="230"/>
      <c r="AN68" s="86" t="e">
        <f t="shared" si="2"/>
        <v>#VALUE!</v>
      </c>
      <c r="AO68" s="87"/>
      <c r="AP68" s="231" t="e">
        <f t="shared" ca="1" si="3"/>
        <v>#VALUE!</v>
      </c>
      <c r="AQ68" s="232"/>
      <c r="AR68" s="233" t="e">
        <f t="shared" ca="1" si="4"/>
        <v>#VALUE!</v>
      </c>
      <c r="AS68" s="234"/>
      <c r="AT68" s="87" t="e">
        <f t="shared" ca="1" si="10"/>
        <v>#VALUE!</v>
      </c>
      <c r="AU68" s="75" t="str">
        <f t="shared" si="5"/>
        <v>-</v>
      </c>
    </row>
    <row r="69" spans="1:50" ht="14.1" customHeight="1" x14ac:dyDescent="0.3">
      <c r="A69" s="43"/>
      <c r="B69" s="215">
        <f t="shared" si="15"/>
        <v>46</v>
      </c>
      <c r="C69" s="215"/>
      <c r="D69" s="205" t="e">
        <f t="shared" si="22"/>
        <v>#VALUE!</v>
      </c>
      <c r="E69" s="216" t="e">
        <f t="shared" si="23"/>
        <v>#VALUE!</v>
      </c>
      <c r="F69" s="216"/>
      <c r="G69" s="216" t="e">
        <f t="shared" si="24"/>
        <v>#VALUE!</v>
      </c>
      <c r="H69" s="216"/>
      <c r="I69" s="202"/>
      <c r="J69" s="53"/>
      <c r="K69" s="53"/>
      <c r="L69" s="53"/>
      <c r="M69" s="53"/>
      <c r="N69" s="50"/>
      <c r="O69" s="98"/>
      <c r="S69" s="74"/>
      <c r="AA69" s="196" t="str">
        <f t="shared" ref="AA69:AA87" si="25">AI69</f>
        <v>-</v>
      </c>
      <c r="AB69" s="185" t="str">
        <f t="shared" si="6"/>
        <v>-</v>
      </c>
      <c r="AC69" s="229">
        <f t="shared" si="14"/>
        <v>66</v>
      </c>
      <c r="AD69" s="230"/>
      <c r="AE69" s="83" t="str">
        <f t="shared" si="7"/>
        <v>-</v>
      </c>
      <c r="AF69" s="84"/>
      <c r="AG69" s="235" t="str">
        <f t="shared" si="8"/>
        <v>-</v>
      </c>
      <c r="AH69" s="236"/>
      <c r="AI69" s="237" t="str">
        <f t="shared" si="9"/>
        <v>-</v>
      </c>
      <c r="AJ69" s="238"/>
      <c r="AK69" s="85">
        <f t="shared" ref="AK69:AK89" ca="1" si="26">IF(AL69="","",DATE(YEAR(AK68),MONTH(AK68)+2,DAY(1)-1))</f>
        <v>48029</v>
      </c>
      <c r="AL69" s="229">
        <v>66</v>
      </c>
      <c r="AM69" s="230"/>
      <c r="AN69" s="86" t="e">
        <f t="shared" ref="AN69:AN89" si="27">$N$2/$E$12</f>
        <v>#VALUE!</v>
      </c>
      <c r="AO69" s="87"/>
      <c r="AP69" s="231" t="e">
        <f t="shared" ref="AP69:AP89" ca="1" si="28">AT69*$E$14/100*(AK69-AK68)/360</f>
        <v>#VALUE!</v>
      </c>
      <c r="AQ69" s="232"/>
      <c r="AR69" s="233" t="e">
        <f t="shared" ref="AR69:AR89" ca="1" si="29">AN69+AP69</f>
        <v>#VALUE!</v>
      </c>
      <c r="AS69" s="234"/>
      <c r="AT69" s="87" t="e">
        <f t="shared" ca="1" si="10"/>
        <v>#VALUE!</v>
      </c>
      <c r="AU69" s="75" t="str">
        <f t="shared" ref="AU69:AU90" si="30">AI69</f>
        <v>-</v>
      </c>
    </row>
    <row r="70" spans="1:50" ht="14.1" customHeight="1" x14ac:dyDescent="0.3">
      <c r="A70" s="43"/>
      <c r="B70" s="215">
        <f t="shared" si="15"/>
        <v>47</v>
      </c>
      <c r="C70" s="215"/>
      <c r="D70" s="205" t="e">
        <f t="shared" si="22"/>
        <v>#VALUE!</v>
      </c>
      <c r="E70" s="216" t="e">
        <f t="shared" si="23"/>
        <v>#VALUE!</v>
      </c>
      <c r="F70" s="216"/>
      <c r="G70" s="216" t="e">
        <f t="shared" si="24"/>
        <v>#VALUE!</v>
      </c>
      <c r="H70" s="216"/>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29">
        <f t="shared" si="14"/>
        <v>67</v>
      </c>
      <c r="AD70" s="230"/>
      <c r="AE70" s="83" t="str">
        <f t="shared" ref="AE70:AE87" si="32">IF(AC70&gt;$V$26,"-",IF($AE$4=0,PPMT($E$14/1200,AC69,$E$12,-$N$2),PPMT($E$14/1200,AC70,$E$12,-$N$2)))</f>
        <v>-</v>
      </c>
      <c r="AF70" s="84"/>
      <c r="AG70" s="235" t="str">
        <f t="shared" ref="AG70:AG87" si="33">IF(AC70&gt;$V$26,"-",IF($AE$4=0,IPMT($E$14/1200,AC69,$E$12,-$N$2),IPMT($E$14/1200,AC70,$E$12,-$N$2)))</f>
        <v>-</v>
      </c>
      <c r="AH70" s="236"/>
      <c r="AI70" s="237" t="str">
        <f t="shared" ref="AI70:AI87" si="34">IF(AC70&gt;$V$26,"-",AG70+AE70)</f>
        <v>-</v>
      </c>
      <c r="AJ70" s="238"/>
      <c r="AK70" s="85">
        <f t="shared" ca="1" si="26"/>
        <v>48060</v>
      </c>
      <c r="AL70" s="229">
        <v>67</v>
      </c>
      <c r="AM70" s="230"/>
      <c r="AN70" s="86" t="e">
        <f t="shared" si="27"/>
        <v>#VALUE!</v>
      </c>
      <c r="AO70" s="87"/>
      <c r="AP70" s="231" t="e">
        <f t="shared" ca="1" si="28"/>
        <v>#VALUE!</v>
      </c>
      <c r="AQ70" s="232"/>
      <c r="AR70" s="233" t="e">
        <f t="shared" ca="1" si="29"/>
        <v>#VALUE!</v>
      </c>
      <c r="AS70" s="234"/>
      <c r="AT70" s="87" t="e">
        <f t="shared" ref="AT70:AT89" ca="1" si="35">AT69-AN69</f>
        <v>#VALUE!</v>
      </c>
      <c r="AU70" s="75" t="str">
        <f t="shared" si="30"/>
        <v>-</v>
      </c>
    </row>
    <row r="71" spans="1:50" ht="14.1" customHeight="1" x14ac:dyDescent="0.3">
      <c r="A71" s="43"/>
      <c r="B71" s="215">
        <f t="shared" si="15"/>
        <v>48</v>
      </c>
      <c r="C71" s="215"/>
      <c r="D71" s="205" t="e">
        <f t="shared" si="22"/>
        <v>#VALUE!</v>
      </c>
      <c r="E71" s="216" t="e">
        <f t="shared" si="23"/>
        <v>#VALUE!</v>
      </c>
      <c r="F71" s="216"/>
      <c r="G71" s="216" t="e">
        <f t="shared" si="24"/>
        <v>#VALUE!</v>
      </c>
      <c r="H71" s="216"/>
      <c r="I71" s="202"/>
      <c r="J71" s="53"/>
      <c r="K71" s="53"/>
      <c r="L71" s="53"/>
      <c r="M71" s="53"/>
      <c r="N71" s="50"/>
      <c r="O71" s="98"/>
      <c r="S71" s="74"/>
      <c r="AA71" s="196" t="str">
        <f t="shared" si="25"/>
        <v>-</v>
      </c>
      <c r="AB71" s="185" t="str">
        <f t="shared" si="31"/>
        <v>-</v>
      </c>
      <c r="AC71" s="229">
        <f t="shared" si="14"/>
        <v>68</v>
      </c>
      <c r="AD71" s="230"/>
      <c r="AE71" s="83" t="str">
        <f t="shared" si="32"/>
        <v>-</v>
      </c>
      <c r="AF71" s="84"/>
      <c r="AG71" s="235" t="str">
        <f t="shared" si="33"/>
        <v>-</v>
      </c>
      <c r="AH71" s="236"/>
      <c r="AI71" s="237" t="str">
        <f t="shared" si="34"/>
        <v>-</v>
      </c>
      <c r="AJ71" s="238"/>
      <c r="AK71" s="85">
        <f t="shared" ca="1" si="26"/>
        <v>48091</v>
      </c>
      <c r="AL71" s="229">
        <v>68</v>
      </c>
      <c r="AM71" s="230"/>
      <c r="AN71" s="86" t="e">
        <f t="shared" si="27"/>
        <v>#VALUE!</v>
      </c>
      <c r="AO71" s="87"/>
      <c r="AP71" s="231" t="e">
        <f t="shared" ca="1" si="28"/>
        <v>#VALUE!</v>
      </c>
      <c r="AQ71" s="232"/>
      <c r="AR71" s="233" t="e">
        <f t="shared" ca="1" si="29"/>
        <v>#VALUE!</v>
      </c>
      <c r="AS71" s="234"/>
      <c r="AT71" s="87" t="e">
        <f t="shared" ca="1" si="35"/>
        <v>#VALUE!</v>
      </c>
      <c r="AU71" s="75" t="str">
        <f t="shared" si="30"/>
        <v>-</v>
      </c>
    </row>
    <row r="72" spans="1:50" ht="14.1" customHeight="1" x14ac:dyDescent="0.3">
      <c r="A72" s="43"/>
      <c r="B72" s="215">
        <f>IF(E12=48,"Всього:",IF(B71&lt;$E$12,B71+1,""))</f>
        <v>49</v>
      </c>
      <c r="C72" s="215"/>
      <c r="D72" s="205" t="e">
        <f>IF(E12=48,SUM(D24:D71),IF(B71&lt;$E$12,AE52,""))</f>
        <v>#VALUE!</v>
      </c>
      <c r="E72" s="216" t="e">
        <f>IF(E12=48,SUM(E24:F71),IF(B71&lt;$E$12,AG52,""))</f>
        <v>#VALUE!</v>
      </c>
      <c r="F72" s="216"/>
      <c r="G72" s="216" t="e">
        <f>IF(E12=48,SUM(G24:H71),IF(B71&lt;$E$12,AI52,""))</f>
        <v>#VALUE!</v>
      </c>
      <c r="H72" s="216"/>
      <c r="I72" s="202"/>
      <c r="J72" s="53"/>
      <c r="K72" s="53"/>
      <c r="L72" s="53"/>
      <c r="M72" s="53"/>
      <c r="N72" s="50"/>
      <c r="O72" s="98"/>
      <c r="S72" s="74"/>
      <c r="AA72" s="196" t="str">
        <f t="shared" si="25"/>
        <v>-</v>
      </c>
      <c r="AB72" s="185" t="str">
        <f t="shared" si="31"/>
        <v>-</v>
      </c>
      <c r="AC72" s="229">
        <f t="shared" si="14"/>
        <v>69</v>
      </c>
      <c r="AD72" s="230"/>
      <c r="AE72" s="83" t="str">
        <f t="shared" si="32"/>
        <v>-</v>
      </c>
      <c r="AF72" s="84"/>
      <c r="AG72" s="235" t="str">
        <f t="shared" si="33"/>
        <v>-</v>
      </c>
      <c r="AH72" s="236"/>
      <c r="AI72" s="237" t="str">
        <f t="shared" si="34"/>
        <v>-</v>
      </c>
      <c r="AJ72" s="238"/>
      <c r="AK72" s="85">
        <f t="shared" ca="1" si="26"/>
        <v>48121</v>
      </c>
      <c r="AL72" s="229">
        <v>69</v>
      </c>
      <c r="AM72" s="230"/>
      <c r="AN72" s="86" t="e">
        <f t="shared" si="27"/>
        <v>#VALUE!</v>
      </c>
      <c r="AO72" s="87"/>
      <c r="AP72" s="231" t="e">
        <f t="shared" ca="1" si="28"/>
        <v>#VALUE!</v>
      </c>
      <c r="AQ72" s="232"/>
      <c r="AR72" s="233" t="e">
        <f t="shared" ca="1" si="29"/>
        <v>#VALUE!</v>
      </c>
      <c r="AS72" s="234"/>
      <c r="AT72" s="87" t="e">
        <f t="shared" ca="1" si="35"/>
        <v>#VALUE!</v>
      </c>
      <c r="AU72" s="75" t="str">
        <f t="shared" si="30"/>
        <v>-</v>
      </c>
    </row>
    <row r="73" spans="1:50" ht="14.1" customHeight="1" x14ac:dyDescent="0.3">
      <c r="A73" s="43"/>
      <c r="B73" s="215">
        <f t="shared" si="15"/>
        <v>50</v>
      </c>
      <c r="C73" s="215"/>
      <c r="D73" s="205" t="e">
        <f t="shared" ref="D73:D83" si="36">IF(B72&lt;$E$12,AE53,"")</f>
        <v>#VALUE!</v>
      </c>
      <c r="E73" s="216" t="e">
        <f t="shared" ref="E73:E83" si="37">IF(B72&lt;$E$12,AG53,"")</f>
        <v>#VALUE!</v>
      </c>
      <c r="F73" s="216"/>
      <c r="G73" s="216" t="e">
        <f t="shared" ref="G73:G83" si="38">IF(B72&lt;$E$12,AI53,"")</f>
        <v>#VALUE!</v>
      </c>
      <c r="H73" s="216"/>
      <c r="I73" s="202"/>
      <c r="J73" s="53"/>
      <c r="K73" s="53"/>
      <c r="L73" s="53"/>
      <c r="M73" s="53"/>
      <c r="N73" s="50"/>
      <c r="O73" s="98"/>
      <c r="S73" s="74"/>
      <c r="AA73" s="196" t="str">
        <f t="shared" si="25"/>
        <v>-</v>
      </c>
      <c r="AB73" s="185" t="str">
        <f t="shared" si="31"/>
        <v>-</v>
      </c>
      <c r="AC73" s="229">
        <f t="shared" si="14"/>
        <v>70</v>
      </c>
      <c r="AD73" s="230"/>
      <c r="AE73" s="83" t="str">
        <f t="shared" si="32"/>
        <v>-</v>
      </c>
      <c r="AF73" s="84"/>
      <c r="AG73" s="235" t="str">
        <f t="shared" si="33"/>
        <v>-</v>
      </c>
      <c r="AH73" s="236"/>
      <c r="AI73" s="237" t="str">
        <f t="shared" si="34"/>
        <v>-</v>
      </c>
      <c r="AJ73" s="238"/>
      <c r="AK73" s="85">
        <f t="shared" ca="1" si="26"/>
        <v>48152</v>
      </c>
      <c r="AL73" s="229">
        <v>70</v>
      </c>
      <c r="AM73" s="230"/>
      <c r="AN73" s="86" t="e">
        <f t="shared" si="27"/>
        <v>#VALUE!</v>
      </c>
      <c r="AO73" s="87"/>
      <c r="AP73" s="231" t="e">
        <f t="shared" ca="1" si="28"/>
        <v>#VALUE!</v>
      </c>
      <c r="AQ73" s="232"/>
      <c r="AR73" s="233" t="e">
        <f t="shared" ca="1" si="29"/>
        <v>#VALUE!</v>
      </c>
      <c r="AS73" s="234"/>
      <c r="AT73" s="87" t="e">
        <f t="shared" ca="1" si="35"/>
        <v>#VALUE!</v>
      </c>
      <c r="AU73" s="75" t="str">
        <f t="shared" si="30"/>
        <v>-</v>
      </c>
    </row>
    <row r="74" spans="1:50" ht="14.1" customHeight="1" x14ac:dyDescent="0.3">
      <c r="A74" s="43"/>
      <c r="B74" s="215">
        <f t="shared" si="15"/>
        <v>51</v>
      </c>
      <c r="C74" s="215"/>
      <c r="D74" s="205" t="e">
        <f t="shared" si="36"/>
        <v>#VALUE!</v>
      </c>
      <c r="E74" s="216" t="e">
        <f t="shared" si="37"/>
        <v>#VALUE!</v>
      </c>
      <c r="F74" s="216"/>
      <c r="G74" s="216" t="e">
        <f t="shared" si="38"/>
        <v>#VALUE!</v>
      </c>
      <c r="H74" s="216"/>
      <c r="I74" s="202"/>
      <c r="J74" s="53"/>
      <c r="K74" s="53"/>
      <c r="L74" s="53"/>
      <c r="M74" s="53"/>
      <c r="N74" s="50"/>
      <c r="O74" s="98"/>
      <c r="S74" s="74"/>
      <c r="AA74" s="196" t="str">
        <f t="shared" si="25"/>
        <v>-</v>
      </c>
      <c r="AB74" s="185" t="str">
        <f t="shared" si="31"/>
        <v>-</v>
      </c>
      <c r="AC74" s="229">
        <f t="shared" si="14"/>
        <v>71</v>
      </c>
      <c r="AD74" s="230"/>
      <c r="AE74" s="83" t="str">
        <f t="shared" si="32"/>
        <v>-</v>
      </c>
      <c r="AF74" s="84"/>
      <c r="AG74" s="235" t="str">
        <f t="shared" si="33"/>
        <v>-</v>
      </c>
      <c r="AH74" s="236"/>
      <c r="AI74" s="237" t="str">
        <f t="shared" si="34"/>
        <v>-</v>
      </c>
      <c r="AJ74" s="238"/>
      <c r="AK74" s="85">
        <f t="shared" ca="1" si="26"/>
        <v>48182</v>
      </c>
      <c r="AL74" s="229">
        <v>71</v>
      </c>
      <c r="AM74" s="230"/>
      <c r="AN74" s="86" t="e">
        <f t="shared" si="27"/>
        <v>#VALUE!</v>
      </c>
      <c r="AO74" s="87"/>
      <c r="AP74" s="231" t="e">
        <f t="shared" ca="1" si="28"/>
        <v>#VALUE!</v>
      </c>
      <c r="AQ74" s="232"/>
      <c r="AR74" s="233" t="e">
        <f t="shared" ca="1" si="29"/>
        <v>#VALUE!</v>
      </c>
      <c r="AS74" s="234"/>
      <c r="AT74" s="87" t="e">
        <f t="shared" ca="1" si="35"/>
        <v>#VALUE!</v>
      </c>
      <c r="AU74" s="75" t="str">
        <f t="shared" si="30"/>
        <v>-</v>
      </c>
    </row>
    <row r="75" spans="1:50" ht="14.1" customHeight="1" x14ac:dyDescent="0.3">
      <c r="A75" s="43"/>
      <c r="B75" s="215">
        <f t="shared" si="15"/>
        <v>52</v>
      </c>
      <c r="C75" s="215"/>
      <c r="D75" s="205" t="e">
        <f t="shared" si="36"/>
        <v>#VALUE!</v>
      </c>
      <c r="E75" s="216" t="e">
        <f t="shared" si="37"/>
        <v>#VALUE!</v>
      </c>
      <c r="F75" s="216"/>
      <c r="G75" s="216" t="e">
        <f t="shared" si="38"/>
        <v>#VALUE!</v>
      </c>
      <c r="H75" s="216"/>
      <c r="I75" s="202"/>
      <c r="J75" s="53"/>
      <c r="K75" s="53"/>
      <c r="L75" s="53"/>
      <c r="M75" s="53"/>
      <c r="N75" s="50"/>
      <c r="O75" s="98"/>
      <c r="S75" s="74"/>
      <c r="AA75" s="196" t="str">
        <f>IFERROR(AI75+Z76,"-")</f>
        <v>-</v>
      </c>
      <c r="AB75" s="185" t="str">
        <f t="shared" si="31"/>
        <v>-</v>
      </c>
      <c r="AC75" s="229">
        <f t="shared" si="14"/>
        <v>72</v>
      </c>
      <c r="AD75" s="230"/>
      <c r="AE75" s="83" t="str">
        <f t="shared" si="32"/>
        <v>-</v>
      </c>
      <c r="AF75" s="84"/>
      <c r="AG75" s="235" t="str">
        <f t="shared" si="33"/>
        <v>-</v>
      </c>
      <c r="AH75" s="236"/>
      <c r="AI75" s="237" t="str">
        <f t="shared" si="34"/>
        <v>-</v>
      </c>
      <c r="AJ75" s="238"/>
      <c r="AK75" s="85">
        <f t="shared" ca="1" si="26"/>
        <v>48213</v>
      </c>
      <c r="AL75" s="229">
        <v>72</v>
      </c>
      <c r="AM75" s="230"/>
      <c r="AN75" s="86" t="e">
        <f t="shared" si="27"/>
        <v>#VALUE!</v>
      </c>
      <c r="AO75" s="87"/>
      <c r="AP75" s="231" t="e">
        <f t="shared" ca="1" si="28"/>
        <v>#VALUE!</v>
      </c>
      <c r="AQ75" s="232"/>
      <c r="AR75" s="233" t="e">
        <f t="shared" ca="1" si="29"/>
        <v>#VALUE!</v>
      </c>
      <c r="AS75" s="234"/>
      <c r="AT75" s="87" t="e">
        <f t="shared" ca="1" si="35"/>
        <v>#VALUE!</v>
      </c>
      <c r="AU75" s="75" t="str">
        <f t="shared" si="30"/>
        <v>-</v>
      </c>
    </row>
    <row r="76" spans="1:50" ht="14.1" customHeight="1" x14ac:dyDescent="0.3">
      <c r="A76" s="43"/>
      <c r="B76" s="215">
        <f t="shared" si="15"/>
        <v>53</v>
      </c>
      <c r="C76" s="215"/>
      <c r="D76" s="205" t="e">
        <f t="shared" si="36"/>
        <v>#VALUE!</v>
      </c>
      <c r="E76" s="216" t="e">
        <f t="shared" si="37"/>
        <v>#VALUE!</v>
      </c>
      <c r="F76" s="216"/>
      <c r="G76" s="216" t="e">
        <f t="shared" si="38"/>
        <v>#VALUE!</v>
      </c>
      <c r="H76" s="216"/>
      <c r="I76" s="202"/>
      <c r="J76" s="53"/>
      <c r="K76" s="53"/>
      <c r="L76" s="53"/>
      <c r="M76" s="53"/>
      <c r="N76" s="50"/>
      <c r="O76" s="98"/>
      <c r="S76" s="74"/>
      <c r="Z76" s="116">
        <f>IF($V$26&gt;AC76,$E$4*0.9*0.9*0.9*0.9*0.9*0.9*5.49%,0)</f>
        <v>0</v>
      </c>
      <c r="AA76" s="196" t="str">
        <f t="shared" si="25"/>
        <v>-</v>
      </c>
      <c r="AB76" s="185" t="str">
        <f t="shared" si="31"/>
        <v>-</v>
      </c>
      <c r="AC76" s="229">
        <f t="shared" si="14"/>
        <v>73</v>
      </c>
      <c r="AD76" s="230"/>
      <c r="AE76" s="83" t="str">
        <f t="shared" si="32"/>
        <v>-</v>
      </c>
      <c r="AF76" s="84"/>
      <c r="AG76" s="235" t="str">
        <f t="shared" si="33"/>
        <v>-</v>
      </c>
      <c r="AH76" s="236"/>
      <c r="AI76" s="237" t="str">
        <f t="shared" si="34"/>
        <v>-</v>
      </c>
      <c r="AJ76" s="238"/>
      <c r="AK76" s="85">
        <f t="shared" ca="1" si="26"/>
        <v>48244</v>
      </c>
      <c r="AL76" s="229">
        <v>73</v>
      </c>
      <c r="AM76" s="230"/>
      <c r="AN76" s="86" t="e">
        <f t="shared" si="27"/>
        <v>#VALUE!</v>
      </c>
      <c r="AO76" s="87"/>
      <c r="AP76" s="231" t="e">
        <f t="shared" ca="1" si="28"/>
        <v>#VALUE!</v>
      </c>
      <c r="AQ76" s="232"/>
      <c r="AR76" s="233" t="e">
        <f t="shared" ca="1" si="29"/>
        <v>#VALUE!</v>
      </c>
      <c r="AS76" s="234"/>
      <c r="AT76" s="87" t="e">
        <f t="shared" ca="1" si="35"/>
        <v>#VALUE!</v>
      </c>
      <c r="AU76" s="75" t="e">
        <f>AI76+AW76+AX76</f>
        <v>#VALUE!</v>
      </c>
      <c r="AW76" s="63" t="str">
        <f>IF($E$12&gt;$R$7,$E$4*0.9*0.9*0.9*0.9*0.9*0.9*5.5%,"")</f>
        <v/>
      </c>
      <c r="AX76" s="63" t="e">
        <f>IF(#REF!=0,0,IF($E$12&gt;$R$7,(AE90-SUM(AE4:AE75))*0.0299,""))</f>
        <v>#REF!</v>
      </c>
    </row>
    <row r="77" spans="1:50" ht="14.1" customHeight="1" x14ac:dyDescent="0.3">
      <c r="A77" s="43"/>
      <c r="B77" s="215">
        <f t="shared" si="15"/>
        <v>54</v>
      </c>
      <c r="C77" s="215"/>
      <c r="D77" s="205" t="e">
        <f t="shared" si="36"/>
        <v>#VALUE!</v>
      </c>
      <c r="E77" s="216" t="e">
        <f t="shared" si="37"/>
        <v>#VALUE!</v>
      </c>
      <c r="F77" s="216"/>
      <c r="G77" s="216" t="e">
        <f t="shared" si="38"/>
        <v>#VALUE!</v>
      </c>
      <c r="H77" s="216"/>
      <c r="I77" s="202"/>
      <c r="J77" s="53"/>
      <c r="K77" s="53"/>
      <c r="L77" s="53"/>
      <c r="M77" s="53"/>
      <c r="N77" s="50"/>
      <c r="O77" s="98"/>
      <c r="S77" s="74"/>
      <c r="AA77" s="196" t="str">
        <f t="shared" si="25"/>
        <v>-</v>
      </c>
      <c r="AB77" s="185" t="str">
        <f t="shared" si="31"/>
        <v>-</v>
      </c>
      <c r="AC77" s="229">
        <f t="shared" si="14"/>
        <v>74</v>
      </c>
      <c r="AD77" s="230"/>
      <c r="AE77" s="83" t="str">
        <f t="shared" si="32"/>
        <v>-</v>
      </c>
      <c r="AF77" s="84"/>
      <c r="AG77" s="235" t="str">
        <f t="shared" si="33"/>
        <v>-</v>
      </c>
      <c r="AH77" s="236"/>
      <c r="AI77" s="237" t="str">
        <f t="shared" si="34"/>
        <v>-</v>
      </c>
      <c r="AJ77" s="238"/>
      <c r="AK77" s="85">
        <f t="shared" ca="1" si="26"/>
        <v>48273</v>
      </c>
      <c r="AL77" s="229">
        <v>74</v>
      </c>
      <c r="AM77" s="230"/>
      <c r="AN77" s="86" t="e">
        <f t="shared" si="27"/>
        <v>#VALUE!</v>
      </c>
      <c r="AO77" s="87"/>
      <c r="AP77" s="231" t="e">
        <f t="shared" ca="1" si="28"/>
        <v>#VALUE!</v>
      </c>
      <c r="AQ77" s="232"/>
      <c r="AR77" s="233" t="e">
        <f t="shared" ca="1" si="29"/>
        <v>#VALUE!</v>
      </c>
      <c r="AS77" s="234"/>
      <c r="AT77" s="87" t="e">
        <f t="shared" ca="1" si="35"/>
        <v>#VALUE!</v>
      </c>
      <c r="AU77" s="75" t="str">
        <f t="shared" si="30"/>
        <v>-</v>
      </c>
    </row>
    <row r="78" spans="1:50" ht="14.1" customHeight="1" x14ac:dyDescent="0.3">
      <c r="A78" s="43"/>
      <c r="B78" s="215">
        <f t="shared" si="15"/>
        <v>55</v>
      </c>
      <c r="C78" s="215"/>
      <c r="D78" s="205" t="e">
        <f t="shared" si="36"/>
        <v>#VALUE!</v>
      </c>
      <c r="E78" s="216" t="e">
        <f t="shared" si="37"/>
        <v>#VALUE!</v>
      </c>
      <c r="F78" s="216"/>
      <c r="G78" s="216" t="e">
        <f t="shared" si="38"/>
        <v>#VALUE!</v>
      </c>
      <c r="H78" s="216"/>
      <c r="I78" s="202"/>
      <c r="J78" s="53"/>
      <c r="K78" s="53"/>
      <c r="L78" s="53"/>
      <c r="M78" s="53"/>
      <c r="N78" s="50"/>
      <c r="O78" s="98"/>
      <c r="S78" s="74"/>
      <c r="AA78" s="196" t="str">
        <f t="shared" si="25"/>
        <v>-</v>
      </c>
      <c r="AB78" s="185" t="str">
        <f t="shared" si="31"/>
        <v>-</v>
      </c>
      <c r="AC78" s="229">
        <f t="shared" si="14"/>
        <v>75</v>
      </c>
      <c r="AD78" s="230"/>
      <c r="AE78" s="83" t="str">
        <f t="shared" si="32"/>
        <v>-</v>
      </c>
      <c r="AF78" s="84"/>
      <c r="AG78" s="235" t="str">
        <f t="shared" si="33"/>
        <v>-</v>
      </c>
      <c r="AH78" s="236"/>
      <c r="AI78" s="237" t="str">
        <f t="shared" si="34"/>
        <v>-</v>
      </c>
      <c r="AJ78" s="238"/>
      <c r="AK78" s="85">
        <f t="shared" ca="1" si="26"/>
        <v>48304</v>
      </c>
      <c r="AL78" s="229">
        <v>75</v>
      </c>
      <c r="AM78" s="230"/>
      <c r="AN78" s="86" t="e">
        <f t="shared" si="27"/>
        <v>#VALUE!</v>
      </c>
      <c r="AO78" s="87"/>
      <c r="AP78" s="231" t="e">
        <f t="shared" ca="1" si="28"/>
        <v>#VALUE!</v>
      </c>
      <c r="AQ78" s="232"/>
      <c r="AR78" s="233" t="e">
        <f t="shared" ca="1" si="29"/>
        <v>#VALUE!</v>
      </c>
      <c r="AS78" s="234"/>
      <c r="AT78" s="87" t="e">
        <f t="shared" ca="1" si="35"/>
        <v>#VALUE!</v>
      </c>
      <c r="AU78" s="75" t="str">
        <f t="shared" si="30"/>
        <v>-</v>
      </c>
    </row>
    <row r="79" spans="1:50" ht="14.1" customHeight="1" x14ac:dyDescent="0.3">
      <c r="A79" s="43"/>
      <c r="B79" s="215">
        <f t="shared" si="15"/>
        <v>56</v>
      </c>
      <c r="C79" s="215"/>
      <c r="D79" s="205" t="e">
        <f t="shared" si="36"/>
        <v>#VALUE!</v>
      </c>
      <c r="E79" s="216" t="e">
        <f t="shared" si="37"/>
        <v>#VALUE!</v>
      </c>
      <c r="F79" s="216"/>
      <c r="G79" s="216" t="e">
        <f t="shared" si="38"/>
        <v>#VALUE!</v>
      </c>
      <c r="H79" s="216"/>
      <c r="I79" s="202"/>
      <c r="J79" s="53"/>
      <c r="K79" s="53"/>
      <c r="L79" s="53"/>
      <c r="M79" s="53"/>
      <c r="N79" s="50"/>
      <c r="O79" s="98"/>
      <c r="S79" s="74"/>
      <c r="AA79" s="196" t="str">
        <f t="shared" si="25"/>
        <v>-</v>
      </c>
      <c r="AB79" s="185" t="str">
        <f t="shared" si="31"/>
        <v>-</v>
      </c>
      <c r="AC79" s="229">
        <f>AC78+1</f>
        <v>76</v>
      </c>
      <c r="AD79" s="230"/>
      <c r="AE79" s="83" t="str">
        <f t="shared" si="32"/>
        <v>-</v>
      </c>
      <c r="AF79" s="84"/>
      <c r="AG79" s="235" t="str">
        <f t="shared" si="33"/>
        <v>-</v>
      </c>
      <c r="AH79" s="236"/>
      <c r="AI79" s="237" t="str">
        <f t="shared" si="34"/>
        <v>-</v>
      </c>
      <c r="AJ79" s="238"/>
      <c r="AK79" s="85">
        <f t="shared" ca="1" si="26"/>
        <v>48334</v>
      </c>
      <c r="AL79" s="229">
        <v>76</v>
      </c>
      <c r="AM79" s="230"/>
      <c r="AN79" s="86" t="e">
        <f t="shared" si="27"/>
        <v>#VALUE!</v>
      </c>
      <c r="AO79" s="87"/>
      <c r="AP79" s="231" t="e">
        <f t="shared" ca="1" si="28"/>
        <v>#VALUE!</v>
      </c>
      <c r="AQ79" s="232"/>
      <c r="AR79" s="233" t="e">
        <f t="shared" ca="1" si="29"/>
        <v>#VALUE!</v>
      </c>
      <c r="AS79" s="234"/>
      <c r="AT79" s="87" t="e">
        <f t="shared" ca="1" si="35"/>
        <v>#VALUE!</v>
      </c>
      <c r="AU79" s="75" t="str">
        <f t="shared" si="30"/>
        <v>-</v>
      </c>
    </row>
    <row r="80" spans="1:50" ht="14.1" customHeight="1" x14ac:dyDescent="0.3">
      <c r="A80" s="43"/>
      <c r="B80" s="215">
        <f t="shared" si="15"/>
        <v>57</v>
      </c>
      <c r="C80" s="215"/>
      <c r="D80" s="205" t="e">
        <f t="shared" si="36"/>
        <v>#VALUE!</v>
      </c>
      <c r="E80" s="216" t="e">
        <f t="shared" si="37"/>
        <v>#VALUE!</v>
      </c>
      <c r="F80" s="216"/>
      <c r="G80" s="216" t="e">
        <f t="shared" si="38"/>
        <v>#VALUE!</v>
      </c>
      <c r="H80" s="216"/>
      <c r="I80" s="202"/>
      <c r="J80" s="53"/>
      <c r="K80" s="53"/>
      <c r="L80" s="53"/>
      <c r="M80" s="53"/>
      <c r="N80" s="50"/>
      <c r="O80" s="98"/>
      <c r="S80" s="74"/>
      <c r="AA80" s="196" t="str">
        <f t="shared" si="25"/>
        <v>-</v>
      </c>
      <c r="AB80" s="185" t="str">
        <f t="shared" si="31"/>
        <v>-</v>
      </c>
      <c r="AC80" s="229">
        <f t="shared" ref="AC80:AC86" si="39">AC79+1</f>
        <v>77</v>
      </c>
      <c r="AD80" s="230"/>
      <c r="AE80" s="83" t="str">
        <f t="shared" si="32"/>
        <v>-</v>
      </c>
      <c r="AF80" s="84"/>
      <c r="AG80" s="235" t="str">
        <f t="shared" si="33"/>
        <v>-</v>
      </c>
      <c r="AH80" s="236"/>
      <c r="AI80" s="237" t="str">
        <f t="shared" si="34"/>
        <v>-</v>
      </c>
      <c r="AJ80" s="238"/>
      <c r="AK80" s="85">
        <f t="shared" ca="1" si="26"/>
        <v>48365</v>
      </c>
      <c r="AL80" s="229">
        <v>77</v>
      </c>
      <c r="AM80" s="230"/>
      <c r="AN80" s="86" t="e">
        <f t="shared" si="27"/>
        <v>#VALUE!</v>
      </c>
      <c r="AO80" s="87"/>
      <c r="AP80" s="231" t="e">
        <f t="shared" ca="1" si="28"/>
        <v>#VALUE!</v>
      </c>
      <c r="AQ80" s="232"/>
      <c r="AR80" s="233" t="e">
        <f t="shared" ca="1" si="29"/>
        <v>#VALUE!</v>
      </c>
      <c r="AS80" s="234"/>
      <c r="AT80" s="87" t="e">
        <f t="shared" ca="1" si="35"/>
        <v>#VALUE!</v>
      </c>
      <c r="AU80" s="75" t="str">
        <f t="shared" si="30"/>
        <v>-</v>
      </c>
    </row>
    <row r="81" spans="1:47" ht="14.1" customHeight="1" x14ac:dyDescent="0.3">
      <c r="A81" s="43"/>
      <c r="B81" s="215">
        <f t="shared" si="15"/>
        <v>58</v>
      </c>
      <c r="C81" s="215"/>
      <c r="D81" s="205" t="e">
        <f t="shared" si="36"/>
        <v>#VALUE!</v>
      </c>
      <c r="E81" s="216" t="e">
        <f t="shared" si="37"/>
        <v>#VALUE!</v>
      </c>
      <c r="F81" s="216"/>
      <c r="G81" s="216" t="e">
        <f t="shared" si="38"/>
        <v>#VALUE!</v>
      </c>
      <c r="H81" s="216"/>
      <c r="I81" s="202"/>
      <c r="J81" s="53"/>
      <c r="K81" s="53"/>
      <c r="L81" s="53"/>
      <c r="M81" s="53"/>
      <c r="N81" s="50"/>
      <c r="O81" s="98"/>
      <c r="S81" s="74"/>
      <c r="AA81" s="196" t="str">
        <f t="shared" si="25"/>
        <v>-</v>
      </c>
      <c r="AB81" s="185" t="str">
        <f t="shared" si="31"/>
        <v>-</v>
      </c>
      <c r="AC81" s="229">
        <f t="shared" si="39"/>
        <v>78</v>
      </c>
      <c r="AD81" s="230"/>
      <c r="AE81" s="83" t="str">
        <f t="shared" si="32"/>
        <v>-</v>
      </c>
      <c r="AF81" s="84"/>
      <c r="AG81" s="235" t="str">
        <f t="shared" si="33"/>
        <v>-</v>
      </c>
      <c r="AH81" s="236"/>
      <c r="AI81" s="237" t="str">
        <f t="shared" si="34"/>
        <v>-</v>
      </c>
      <c r="AJ81" s="238"/>
      <c r="AK81" s="85">
        <f t="shared" ca="1" si="26"/>
        <v>48395</v>
      </c>
      <c r="AL81" s="229">
        <v>78</v>
      </c>
      <c r="AM81" s="230"/>
      <c r="AN81" s="86" t="e">
        <f t="shared" si="27"/>
        <v>#VALUE!</v>
      </c>
      <c r="AO81" s="87"/>
      <c r="AP81" s="231" t="e">
        <f t="shared" ca="1" si="28"/>
        <v>#VALUE!</v>
      </c>
      <c r="AQ81" s="232"/>
      <c r="AR81" s="233" t="e">
        <f t="shared" ca="1" si="29"/>
        <v>#VALUE!</v>
      </c>
      <c r="AS81" s="234"/>
      <c r="AT81" s="87" t="e">
        <f t="shared" ca="1" si="35"/>
        <v>#VALUE!</v>
      </c>
      <c r="AU81" s="75" t="str">
        <f t="shared" si="30"/>
        <v>-</v>
      </c>
    </row>
    <row r="82" spans="1:47" ht="14.1" customHeight="1" x14ac:dyDescent="0.3">
      <c r="A82" s="43"/>
      <c r="B82" s="215">
        <f t="shared" si="15"/>
        <v>59</v>
      </c>
      <c r="C82" s="215"/>
      <c r="D82" s="205" t="e">
        <f t="shared" si="36"/>
        <v>#VALUE!</v>
      </c>
      <c r="E82" s="216" t="e">
        <f t="shared" si="37"/>
        <v>#VALUE!</v>
      </c>
      <c r="F82" s="216"/>
      <c r="G82" s="216" t="e">
        <f t="shared" si="38"/>
        <v>#VALUE!</v>
      </c>
      <c r="H82" s="216"/>
      <c r="I82" s="202"/>
      <c r="J82" s="53"/>
      <c r="K82" s="53"/>
      <c r="L82" s="53"/>
      <c r="M82" s="53"/>
      <c r="N82" s="50"/>
      <c r="O82" s="98"/>
      <c r="S82" s="74"/>
      <c r="AA82" s="196" t="str">
        <f t="shared" si="25"/>
        <v>-</v>
      </c>
      <c r="AB82" s="185" t="str">
        <f t="shared" si="31"/>
        <v>-</v>
      </c>
      <c r="AC82" s="229">
        <f t="shared" si="39"/>
        <v>79</v>
      </c>
      <c r="AD82" s="230"/>
      <c r="AE82" s="83" t="str">
        <f t="shared" si="32"/>
        <v>-</v>
      </c>
      <c r="AF82" s="84"/>
      <c r="AG82" s="235" t="str">
        <f t="shared" si="33"/>
        <v>-</v>
      </c>
      <c r="AH82" s="236"/>
      <c r="AI82" s="237" t="str">
        <f t="shared" si="34"/>
        <v>-</v>
      </c>
      <c r="AJ82" s="238"/>
      <c r="AK82" s="85">
        <f t="shared" ca="1" si="26"/>
        <v>48426</v>
      </c>
      <c r="AL82" s="229">
        <v>79</v>
      </c>
      <c r="AM82" s="230"/>
      <c r="AN82" s="86" t="e">
        <f t="shared" si="27"/>
        <v>#VALUE!</v>
      </c>
      <c r="AO82" s="87"/>
      <c r="AP82" s="231" t="e">
        <f t="shared" ca="1" si="28"/>
        <v>#VALUE!</v>
      </c>
      <c r="AQ82" s="232"/>
      <c r="AR82" s="233" t="e">
        <f t="shared" ca="1" si="29"/>
        <v>#VALUE!</v>
      </c>
      <c r="AS82" s="234"/>
      <c r="AT82" s="87" t="e">
        <f t="shared" ca="1" si="35"/>
        <v>#VALUE!</v>
      </c>
      <c r="AU82" s="75" t="str">
        <f t="shared" si="30"/>
        <v>-</v>
      </c>
    </row>
    <row r="83" spans="1:47" ht="14.1" customHeight="1" x14ac:dyDescent="0.3">
      <c r="A83" s="43"/>
      <c r="B83" s="215">
        <f t="shared" si="15"/>
        <v>60</v>
      </c>
      <c r="C83" s="215"/>
      <c r="D83" s="205" t="e">
        <f t="shared" si="36"/>
        <v>#VALUE!</v>
      </c>
      <c r="E83" s="216" t="e">
        <f t="shared" si="37"/>
        <v>#VALUE!</v>
      </c>
      <c r="F83" s="216"/>
      <c r="G83" s="216" t="e">
        <f t="shared" si="38"/>
        <v>#VALUE!</v>
      </c>
      <c r="H83" s="216"/>
      <c r="I83" s="202"/>
      <c r="J83" s="53"/>
      <c r="K83" s="53"/>
      <c r="L83" s="53"/>
      <c r="M83" s="53"/>
      <c r="N83" s="50"/>
      <c r="O83" s="98"/>
      <c r="S83" s="74"/>
      <c r="AA83" s="196" t="str">
        <f t="shared" si="25"/>
        <v>-</v>
      </c>
      <c r="AB83" s="185" t="str">
        <f t="shared" si="31"/>
        <v>-</v>
      </c>
      <c r="AC83" s="229">
        <f t="shared" si="39"/>
        <v>80</v>
      </c>
      <c r="AD83" s="230"/>
      <c r="AE83" s="83" t="str">
        <f t="shared" si="32"/>
        <v>-</v>
      </c>
      <c r="AF83" s="84"/>
      <c r="AG83" s="235" t="str">
        <f t="shared" si="33"/>
        <v>-</v>
      </c>
      <c r="AH83" s="236"/>
      <c r="AI83" s="237" t="str">
        <f t="shared" si="34"/>
        <v>-</v>
      </c>
      <c r="AJ83" s="238"/>
      <c r="AK83" s="85">
        <f t="shared" ca="1" si="26"/>
        <v>48457</v>
      </c>
      <c r="AL83" s="229">
        <v>80</v>
      </c>
      <c r="AM83" s="230"/>
      <c r="AN83" s="86" t="e">
        <f t="shared" si="27"/>
        <v>#VALUE!</v>
      </c>
      <c r="AO83" s="87"/>
      <c r="AP83" s="231" t="e">
        <f t="shared" ca="1" si="28"/>
        <v>#VALUE!</v>
      </c>
      <c r="AQ83" s="232"/>
      <c r="AR83" s="233" t="e">
        <f t="shared" ca="1" si="29"/>
        <v>#VALUE!</v>
      </c>
      <c r="AS83" s="234"/>
      <c r="AT83" s="87" t="e">
        <f t="shared" ca="1" si="35"/>
        <v>#VALUE!</v>
      </c>
      <c r="AU83" s="75" t="str">
        <f t="shared" si="30"/>
        <v>-</v>
      </c>
    </row>
    <row r="84" spans="1:47" ht="14.1" customHeight="1" x14ac:dyDescent="0.3">
      <c r="A84" s="43"/>
      <c r="B84" s="215" t="str">
        <f>IF(E12=60,"Всього:",IF(B83&lt;$E$12,B83+1,""))</f>
        <v>Всього:</v>
      </c>
      <c r="C84" s="215"/>
      <c r="D84" s="205" t="e">
        <f>IF(E12=60,SUM(D24:D83),IF(B83&lt;$E$12,AE64,""))</f>
        <v>#VALUE!</v>
      </c>
      <c r="E84" s="216" t="e">
        <f>IF(E12=60,SUM(E24:F83),IF(B83&lt;$E$12,AG64,""))</f>
        <v>#VALUE!</v>
      </c>
      <c r="F84" s="216"/>
      <c r="G84" s="216" t="e">
        <f>IF(E12=60,SUM(G24:H83),IF(B83&lt;$E$12,AI64,""))</f>
        <v>#VALUE!</v>
      </c>
      <c r="H84" s="216"/>
      <c r="I84" s="202"/>
      <c r="J84" s="53"/>
      <c r="K84" s="53"/>
      <c r="L84" s="53"/>
      <c r="M84" s="53"/>
      <c r="N84" s="50"/>
      <c r="O84" s="98"/>
      <c r="AA84" s="196" t="str">
        <f t="shared" si="25"/>
        <v>-</v>
      </c>
      <c r="AB84" s="185" t="str">
        <f t="shared" si="31"/>
        <v>-</v>
      </c>
      <c r="AC84" s="229">
        <f t="shared" si="39"/>
        <v>81</v>
      </c>
      <c r="AD84" s="230"/>
      <c r="AE84" s="83" t="str">
        <f t="shared" si="32"/>
        <v>-</v>
      </c>
      <c r="AF84" s="84"/>
      <c r="AG84" s="235" t="str">
        <f t="shared" si="33"/>
        <v>-</v>
      </c>
      <c r="AH84" s="236"/>
      <c r="AI84" s="237" t="str">
        <f t="shared" si="34"/>
        <v>-</v>
      </c>
      <c r="AJ84" s="238"/>
      <c r="AK84" s="85">
        <f t="shared" ca="1" si="26"/>
        <v>48487</v>
      </c>
      <c r="AL84" s="229">
        <v>81</v>
      </c>
      <c r="AM84" s="230"/>
      <c r="AN84" s="86" t="e">
        <f t="shared" si="27"/>
        <v>#VALUE!</v>
      </c>
      <c r="AO84" s="87"/>
      <c r="AP84" s="231" t="e">
        <f t="shared" ca="1" si="28"/>
        <v>#VALUE!</v>
      </c>
      <c r="AQ84" s="232"/>
      <c r="AR84" s="233" t="e">
        <f t="shared" ca="1" si="29"/>
        <v>#VALUE!</v>
      </c>
      <c r="AS84" s="234"/>
      <c r="AT84" s="87" t="e">
        <f t="shared" ca="1" si="35"/>
        <v>#VALUE!</v>
      </c>
      <c r="AU84" s="75" t="str">
        <f t="shared" si="30"/>
        <v>-</v>
      </c>
    </row>
    <row r="85" spans="1:47" ht="14.1" customHeight="1" x14ac:dyDescent="0.3">
      <c r="A85" s="43"/>
      <c r="B85" s="215" t="str">
        <f t="shared" si="15"/>
        <v/>
      </c>
      <c r="C85" s="215"/>
      <c r="D85" s="205" t="str">
        <f t="shared" ref="D85:D95" si="40">IF(B84&lt;$E$12,AE65,"")</f>
        <v/>
      </c>
      <c r="E85" s="216" t="str">
        <f t="shared" ref="E85:E95" si="41">IF(B84&lt;$E$12,AG65,"")</f>
        <v/>
      </c>
      <c r="F85" s="216"/>
      <c r="G85" s="216" t="str">
        <f t="shared" ref="G85:G95" si="42">IF(B84&lt;$E$12,AI65,"")</f>
        <v/>
      </c>
      <c r="H85" s="216"/>
      <c r="I85" s="202"/>
      <c r="J85" s="53"/>
      <c r="K85" s="53"/>
      <c r="L85" s="53"/>
      <c r="M85" s="53"/>
      <c r="N85" s="50"/>
      <c r="O85" s="98"/>
      <c r="AA85" s="196" t="str">
        <f t="shared" si="25"/>
        <v>-</v>
      </c>
      <c r="AB85" s="185" t="str">
        <f t="shared" si="31"/>
        <v>-</v>
      </c>
      <c r="AC85" s="229">
        <f t="shared" si="39"/>
        <v>82</v>
      </c>
      <c r="AD85" s="230"/>
      <c r="AE85" s="83" t="str">
        <f t="shared" si="32"/>
        <v>-</v>
      </c>
      <c r="AF85" s="84"/>
      <c r="AG85" s="235" t="str">
        <f t="shared" si="33"/>
        <v>-</v>
      </c>
      <c r="AH85" s="236"/>
      <c r="AI85" s="237" t="str">
        <f t="shared" si="34"/>
        <v>-</v>
      </c>
      <c r="AJ85" s="238"/>
      <c r="AK85" s="85">
        <f t="shared" ca="1" si="26"/>
        <v>48518</v>
      </c>
      <c r="AL85" s="229">
        <v>82</v>
      </c>
      <c r="AM85" s="230"/>
      <c r="AN85" s="86" t="e">
        <f t="shared" si="27"/>
        <v>#VALUE!</v>
      </c>
      <c r="AO85" s="87"/>
      <c r="AP85" s="231" t="e">
        <f t="shared" ca="1" si="28"/>
        <v>#VALUE!</v>
      </c>
      <c r="AQ85" s="232"/>
      <c r="AR85" s="233" t="e">
        <f t="shared" ca="1" si="29"/>
        <v>#VALUE!</v>
      </c>
      <c r="AS85" s="234"/>
      <c r="AT85" s="87" t="e">
        <f t="shared" ca="1" si="35"/>
        <v>#VALUE!</v>
      </c>
      <c r="AU85" s="75" t="str">
        <f t="shared" si="30"/>
        <v>-</v>
      </c>
    </row>
    <row r="86" spans="1:47" ht="14.1" customHeight="1" x14ac:dyDescent="0.3">
      <c r="A86" s="43"/>
      <c r="B86" s="215" t="str">
        <f t="shared" si="15"/>
        <v/>
      </c>
      <c r="C86" s="215"/>
      <c r="D86" s="205" t="str">
        <f t="shared" si="40"/>
        <v/>
      </c>
      <c r="E86" s="216" t="str">
        <f t="shared" si="41"/>
        <v/>
      </c>
      <c r="F86" s="216"/>
      <c r="G86" s="216" t="str">
        <f t="shared" si="42"/>
        <v/>
      </c>
      <c r="H86" s="216"/>
      <c r="I86" s="202"/>
      <c r="J86" s="53"/>
      <c r="K86" s="53"/>
      <c r="L86" s="53"/>
      <c r="M86" s="53"/>
      <c r="N86" s="50"/>
      <c r="O86" s="98"/>
      <c r="AA86" s="196" t="str">
        <f t="shared" si="25"/>
        <v>-</v>
      </c>
      <c r="AB86" s="185" t="str">
        <f t="shared" si="31"/>
        <v>-</v>
      </c>
      <c r="AC86" s="229">
        <f t="shared" si="39"/>
        <v>83</v>
      </c>
      <c r="AD86" s="230"/>
      <c r="AE86" s="83" t="str">
        <f t="shared" si="32"/>
        <v>-</v>
      </c>
      <c r="AF86" s="84"/>
      <c r="AG86" s="235" t="str">
        <f t="shared" si="33"/>
        <v>-</v>
      </c>
      <c r="AH86" s="236"/>
      <c r="AI86" s="237" t="str">
        <f t="shared" si="34"/>
        <v>-</v>
      </c>
      <c r="AJ86" s="238"/>
      <c r="AK86" s="85">
        <f t="shared" ca="1" si="26"/>
        <v>48548</v>
      </c>
      <c r="AL86" s="229">
        <v>83</v>
      </c>
      <c r="AM86" s="230"/>
      <c r="AN86" s="86" t="e">
        <f t="shared" si="27"/>
        <v>#VALUE!</v>
      </c>
      <c r="AO86" s="87"/>
      <c r="AP86" s="231" t="e">
        <f t="shared" ca="1" si="28"/>
        <v>#VALUE!</v>
      </c>
      <c r="AQ86" s="232"/>
      <c r="AR86" s="233" t="e">
        <f t="shared" ca="1" si="29"/>
        <v>#VALUE!</v>
      </c>
      <c r="AS86" s="234"/>
      <c r="AT86" s="87" t="e">
        <f t="shared" ca="1" si="35"/>
        <v>#VALUE!</v>
      </c>
      <c r="AU86" s="75" t="str">
        <f t="shared" si="30"/>
        <v>-</v>
      </c>
    </row>
    <row r="87" spans="1:47" ht="14.1" customHeight="1" x14ac:dyDescent="0.3">
      <c r="A87" s="43"/>
      <c r="B87" s="215" t="str">
        <f t="shared" si="15"/>
        <v/>
      </c>
      <c r="C87" s="215"/>
      <c r="D87" s="205" t="str">
        <f t="shared" si="40"/>
        <v/>
      </c>
      <c r="E87" s="216" t="str">
        <f t="shared" si="41"/>
        <v/>
      </c>
      <c r="F87" s="216"/>
      <c r="G87" s="216" t="str">
        <f t="shared" si="42"/>
        <v/>
      </c>
      <c r="H87" s="216"/>
      <c r="I87" s="202"/>
      <c r="J87" s="53"/>
      <c r="K87" s="53"/>
      <c r="L87" s="53"/>
      <c r="M87" s="53"/>
      <c r="N87" s="50"/>
      <c r="O87" s="98"/>
      <c r="AA87" s="196" t="str">
        <f t="shared" si="25"/>
        <v>-</v>
      </c>
      <c r="AB87" s="185" t="str">
        <f t="shared" si="31"/>
        <v>-</v>
      </c>
      <c r="AC87" s="229">
        <f>AC86+1</f>
        <v>84</v>
      </c>
      <c r="AD87" s="230"/>
      <c r="AE87" s="83" t="str">
        <f t="shared" si="32"/>
        <v>-</v>
      </c>
      <c r="AF87" s="84"/>
      <c r="AG87" s="235" t="str">
        <f t="shared" si="33"/>
        <v>-</v>
      </c>
      <c r="AH87" s="236"/>
      <c r="AI87" s="237" t="str">
        <f t="shared" si="34"/>
        <v>-</v>
      </c>
      <c r="AJ87" s="238"/>
      <c r="AK87" s="85">
        <f t="shared" ca="1" si="26"/>
        <v>48579</v>
      </c>
      <c r="AL87" s="229">
        <v>84</v>
      </c>
      <c r="AM87" s="230"/>
      <c r="AN87" s="86" t="e">
        <f t="shared" si="27"/>
        <v>#VALUE!</v>
      </c>
      <c r="AO87" s="87"/>
      <c r="AP87" s="231" t="e">
        <f t="shared" ca="1" si="28"/>
        <v>#VALUE!</v>
      </c>
      <c r="AQ87" s="232"/>
      <c r="AR87" s="233" t="e">
        <f t="shared" ca="1" si="29"/>
        <v>#VALUE!</v>
      </c>
      <c r="AS87" s="234"/>
      <c r="AT87" s="87" t="e">
        <f t="shared" ca="1" si="35"/>
        <v>#VALUE!</v>
      </c>
      <c r="AU87" s="75" t="str">
        <f t="shared" si="30"/>
        <v>-</v>
      </c>
    </row>
    <row r="88" spans="1:47" ht="14.1" customHeight="1" thickBot="1" x14ac:dyDescent="0.35">
      <c r="A88" s="43"/>
      <c r="B88" s="215" t="str">
        <f t="shared" si="15"/>
        <v/>
      </c>
      <c r="C88" s="215"/>
      <c r="D88" s="205" t="str">
        <f t="shared" si="40"/>
        <v/>
      </c>
      <c r="E88" s="216" t="str">
        <f t="shared" si="41"/>
        <v/>
      </c>
      <c r="F88" s="216"/>
      <c r="G88" s="216" t="str">
        <f t="shared" si="42"/>
        <v/>
      </c>
      <c r="H88" s="216"/>
      <c r="I88" s="202"/>
      <c r="J88" s="53"/>
      <c r="K88" s="53"/>
      <c r="L88" s="53"/>
      <c r="M88" s="53"/>
      <c r="N88" s="50"/>
      <c r="O88" s="98"/>
      <c r="AB88" s="184"/>
      <c r="AC88" s="220" t="s">
        <v>283</v>
      </c>
      <c r="AD88" s="221"/>
      <c r="AE88" s="83" t="e">
        <f>IF($E$12=$R$2,SUM(AE4:AF15),IF($E$12=$R$3,SUM(AE4:AF27),IF($E$12=$R$4,SUM(AE4:AF39),IF($E$12=$R$5,SUM(AE4:AF51),IF($E$12=$R$6,SUM(AE4:AF63),IF($E$12=$R$7,SUM(AE4:AF75),IF($E$12=$R$8,SUM(AE4:AF87))))))))</f>
        <v>#VALUE!</v>
      </c>
      <c r="AF88" s="183"/>
      <c r="AG88" s="235" t="e">
        <f>IF($E$12=$R$2,SUM(AG4:AH15),IF($E$12=$R$3,SUM(AG4:AH27),IF($E$12=$R$4,SUM(AG4:AH39),IF($E$12=$R$5,SUM(AG4:AH51),IF($E$12=$R$6,SUM(AG4:AH63),IF($E$12=$R$7,SUM(AG4:AH75),IF($E$12=$R$8,SUM(AG4:AH87))))))))</f>
        <v>#VALUE!</v>
      </c>
      <c r="AH88" s="236"/>
      <c r="AI88" s="237" t="e">
        <f>IF($E$12=$R$2,SUM(AI4:AJ15),IF($E$12=$R$3,SUM(AI4:AJ27),IF($E$12=$R$4,SUM(AI4:AJ39),IF($E$12=$R$5,SUM(AI4:AJ51),IF($E$12=$R$6,SUM(AI4:AJ63),IF($E$12=$R$7,SUM(AI4:AJ75),IF($E$12=$R$8,SUM(AI4:AJ87))))))))</f>
        <v>#VALUE!</v>
      </c>
      <c r="AJ88" s="238"/>
      <c r="AK88" s="85">
        <f t="shared" ca="1" si="26"/>
        <v>48610</v>
      </c>
      <c r="AL88" s="229">
        <v>85</v>
      </c>
      <c r="AM88" s="230"/>
      <c r="AN88" s="86" t="e">
        <f t="shared" si="27"/>
        <v>#VALUE!</v>
      </c>
      <c r="AO88" s="62"/>
      <c r="AP88" s="231" t="e">
        <f t="shared" ca="1" si="28"/>
        <v>#VALUE!</v>
      </c>
      <c r="AQ88" s="232"/>
      <c r="AR88" s="233" t="e">
        <f t="shared" ca="1" si="29"/>
        <v>#VALUE!</v>
      </c>
      <c r="AS88" s="234"/>
      <c r="AT88" s="87" t="e">
        <f t="shared" ca="1" si="35"/>
        <v>#VALUE!</v>
      </c>
      <c r="AU88" s="75" t="e">
        <f t="shared" si="30"/>
        <v>#VALUE!</v>
      </c>
    </row>
    <row r="89" spans="1:47" ht="14.1" customHeight="1" x14ac:dyDescent="0.3">
      <c r="A89" s="43"/>
      <c r="B89" s="215" t="str">
        <f t="shared" si="15"/>
        <v/>
      </c>
      <c r="C89" s="215"/>
      <c r="D89" s="205" t="str">
        <f t="shared" si="40"/>
        <v/>
      </c>
      <c r="E89" s="216" t="str">
        <f t="shared" si="41"/>
        <v/>
      </c>
      <c r="F89" s="216"/>
      <c r="G89" s="216" t="str">
        <f t="shared" si="42"/>
        <v/>
      </c>
      <c r="H89" s="216"/>
      <c r="I89" s="202"/>
      <c r="J89" s="53"/>
      <c r="K89" s="53"/>
      <c r="L89" s="53"/>
      <c r="M89" s="53"/>
      <c r="N89" s="50"/>
      <c r="O89" s="98"/>
      <c r="AB89" s="178"/>
      <c r="AC89" s="226"/>
      <c r="AD89" s="226"/>
      <c r="AE89" s="179"/>
      <c r="AG89" s="227"/>
      <c r="AH89" s="227"/>
      <c r="AI89" s="228"/>
      <c r="AJ89" s="228"/>
      <c r="AK89" s="130">
        <f t="shared" ca="1" si="26"/>
        <v>48638</v>
      </c>
      <c r="AL89" s="229">
        <v>86</v>
      </c>
      <c r="AM89" s="230"/>
      <c r="AN89" s="86" t="e">
        <f t="shared" si="27"/>
        <v>#VALUE!</v>
      </c>
      <c r="AO89" s="62"/>
      <c r="AP89" s="231" t="e">
        <f t="shared" ca="1" si="28"/>
        <v>#VALUE!</v>
      </c>
      <c r="AQ89" s="232"/>
      <c r="AR89" s="233" t="e">
        <f t="shared" ca="1" si="29"/>
        <v>#VALUE!</v>
      </c>
      <c r="AS89" s="234"/>
      <c r="AT89" s="87" t="e">
        <f t="shared" ca="1" si="35"/>
        <v>#VALUE!</v>
      </c>
      <c r="AU89" s="75">
        <f t="shared" si="30"/>
        <v>0</v>
      </c>
    </row>
    <row r="90" spans="1:47" ht="14.1" customHeight="1" thickBot="1" x14ac:dyDescent="0.35">
      <c r="A90" s="43"/>
      <c r="B90" s="215" t="str">
        <f t="shared" si="15"/>
        <v/>
      </c>
      <c r="C90" s="215"/>
      <c r="D90" s="205" t="str">
        <f t="shared" si="40"/>
        <v/>
      </c>
      <c r="E90" s="216" t="str">
        <f t="shared" si="41"/>
        <v/>
      </c>
      <c r="F90" s="216"/>
      <c r="G90" s="216" t="str">
        <f t="shared" si="42"/>
        <v/>
      </c>
      <c r="H90" s="216"/>
      <c r="I90" s="202"/>
      <c r="J90" s="53"/>
      <c r="K90" s="53"/>
      <c r="L90" s="53"/>
      <c r="M90" s="53"/>
      <c r="N90" s="50"/>
      <c r="O90" s="98"/>
      <c r="AB90" s="180"/>
      <c r="AC90" s="218"/>
      <c r="AD90" s="218"/>
      <c r="AE90" s="181"/>
      <c r="AF90" s="182"/>
      <c r="AG90" s="219"/>
      <c r="AH90" s="219"/>
      <c r="AI90" s="219"/>
      <c r="AJ90" s="219"/>
      <c r="AL90" s="220" t="s">
        <v>283</v>
      </c>
      <c r="AM90" s="221"/>
      <c r="AN90" s="144" t="e">
        <f ca="1">SUM(AN4:AN89)</f>
        <v>#VALUE!</v>
      </c>
      <c r="AO90" s="145"/>
      <c r="AP90" s="222" t="e">
        <f ca="1">SUM(AP4:AQ88)</f>
        <v>#VALUE!</v>
      </c>
      <c r="AQ90" s="223"/>
      <c r="AR90" s="224" t="e">
        <f ca="1">SUM(AR4:AS89)</f>
        <v>#VALUE!</v>
      </c>
      <c r="AS90" s="225"/>
      <c r="AT90" s="145"/>
      <c r="AU90" s="75">
        <f t="shared" si="30"/>
        <v>0</v>
      </c>
    </row>
    <row r="91" spans="1:47" ht="14.1" customHeight="1" x14ac:dyDescent="0.3">
      <c r="A91" s="43"/>
      <c r="B91" s="215" t="str">
        <f t="shared" si="15"/>
        <v/>
      </c>
      <c r="C91" s="215"/>
      <c r="D91" s="205" t="str">
        <f t="shared" si="40"/>
        <v/>
      </c>
      <c r="E91" s="216" t="str">
        <f t="shared" si="41"/>
        <v/>
      </c>
      <c r="F91" s="216"/>
      <c r="G91" s="216" t="str">
        <f t="shared" si="42"/>
        <v/>
      </c>
      <c r="H91" s="216"/>
      <c r="I91" s="202"/>
      <c r="J91" s="58"/>
      <c r="K91" s="53"/>
      <c r="L91" s="53"/>
      <c r="M91" s="53"/>
      <c r="N91" s="50"/>
      <c r="O91" s="98"/>
      <c r="AO91" s="62"/>
    </row>
    <row r="92" spans="1:47" ht="14.1" customHeight="1" x14ac:dyDescent="0.3">
      <c r="A92" s="43"/>
      <c r="B92" s="215" t="str">
        <f t="shared" si="15"/>
        <v/>
      </c>
      <c r="C92" s="215"/>
      <c r="D92" s="205" t="str">
        <f t="shared" si="40"/>
        <v/>
      </c>
      <c r="E92" s="216" t="str">
        <f t="shared" si="41"/>
        <v/>
      </c>
      <c r="F92" s="216"/>
      <c r="G92" s="216" t="str">
        <f t="shared" si="42"/>
        <v/>
      </c>
      <c r="H92" s="216"/>
      <c r="I92" s="202"/>
      <c r="J92" s="58"/>
      <c r="K92" s="53"/>
      <c r="L92" s="53"/>
      <c r="M92" s="53"/>
      <c r="N92" s="50"/>
      <c r="O92" s="98"/>
      <c r="AO92" s="62"/>
    </row>
    <row r="93" spans="1:47" ht="14.1" customHeight="1" x14ac:dyDescent="0.3">
      <c r="A93" s="43"/>
      <c r="B93" s="215" t="str">
        <f t="shared" si="15"/>
        <v/>
      </c>
      <c r="C93" s="215"/>
      <c r="D93" s="205" t="str">
        <f t="shared" si="40"/>
        <v/>
      </c>
      <c r="E93" s="216" t="str">
        <f t="shared" si="41"/>
        <v/>
      </c>
      <c r="F93" s="216"/>
      <c r="G93" s="216" t="str">
        <f t="shared" si="42"/>
        <v/>
      </c>
      <c r="H93" s="216"/>
      <c r="I93" s="202"/>
      <c r="J93" s="58"/>
      <c r="K93" s="53"/>
      <c r="L93" s="53"/>
      <c r="M93" s="53"/>
      <c r="N93" s="50"/>
      <c r="O93" s="98"/>
      <c r="AO93" s="62"/>
    </row>
    <row r="94" spans="1:47" ht="14.1" customHeight="1" x14ac:dyDescent="0.3">
      <c r="A94" s="43"/>
      <c r="B94" s="215" t="str">
        <f t="shared" si="15"/>
        <v/>
      </c>
      <c r="C94" s="215"/>
      <c r="D94" s="205" t="str">
        <f t="shared" si="40"/>
        <v/>
      </c>
      <c r="E94" s="216" t="str">
        <f t="shared" si="41"/>
        <v/>
      </c>
      <c r="F94" s="216"/>
      <c r="G94" s="216" t="str">
        <f t="shared" si="42"/>
        <v/>
      </c>
      <c r="H94" s="216"/>
      <c r="I94" s="202"/>
      <c r="J94" s="58"/>
      <c r="K94" s="53"/>
      <c r="L94" s="53"/>
      <c r="M94" s="53"/>
      <c r="N94" s="50"/>
      <c r="O94" s="98"/>
      <c r="AO94" s="62"/>
    </row>
    <row r="95" spans="1:47" ht="14.1" customHeight="1" x14ac:dyDescent="0.3">
      <c r="A95" s="43"/>
      <c r="B95" s="215" t="str">
        <f t="shared" si="15"/>
        <v/>
      </c>
      <c r="C95" s="215"/>
      <c r="D95" s="205" t="str">
        <f t="shared" si="40"/>
        <v/>
      </c>
      <c r="E95" s="216" t="str">
        <f t="shared" si="41"/>
        <v/>
      </c>
      <c r="F95" s="216"/>
      <c r="G95" s="216" t="str">
        <f t="shared" si="42"/>
        <v/>
      </c>
      <c r="H95" s="216"/>
      <c r="I95" s="202"/>
      <c r="J95" s="58"/>
      <c r="K95" s="53"/>
      <c r="L95" s="53"/>
      <c r="M95" s="53"/>
      <c r="N95" s="50"/>
      <c r="O95" s="98"/>
      <c r="AO95" s="62"/>
    </row>
    <row r="96" spans="1:47" ht="14.1" customHeight="1" x14ac:dyDescent="0.3">
      <c r="A96" s="43"/>
      <c r="B96" s="215" t="str">
        <f>IF(E12=72,"Всього:",IF(B95&lt;$E$12,B95+1,""))</f>
        <v/>
      </c>
      <c r="C96" s="215"/>
      <c r="D96" s="205" t="str">
        <f>IF(E12=72,SUM(D24:D95),IF(B95&lt;$E$12,AE76,""))</f>
        <v/>
      </c>
      <c r="E96" s="216" t="str">
        <f>IF(E12=72,SUM(E24:F95),IF(B95&lt;$E$12,AG76,""))</f>
        <v/>
      </c>
      <c r="F96" s="216"/>
      <c r="G96" s="216" t="str">
        <f>IF(E12=72,SUM(G24:H95),IF(B95&lt;$E$12,AI76,""))</f>
        <v/>
      </c>
      <c r="H96" s="216"/>
      <c r="I96" s="202"/>
      <c r="J96" s="58"/>
      <c r="K96" s="53"/>
      <c r="L96" s="53"/>
      <c r="M96" s="53"/>
      <c r="N96" s="50"/>
      <c r="O96" s="98"/>
      <c r="AO96" s="62"/>
    </row>
    <row r="97" spans="1:41" ht="14.1" customHeight="1" x14ac:dyDescent="0.3">
      <c r="A97" s="43"/>
      <c r="B97" s="215" t="str">
        <f t="shared" si="15"/>
        <v/>
      </c>
      <c r="C97" s="215"/>
      <c r="D97" s="205" t="str">
        <f t="shared" ref="D97:D107" si="43">IF(B96&lt;$E$12,AE77,"")</f>
        <v/>
      </c>
      <c r="E97" s="216" t="str">
        <f t="shared" ref="E97:E107" si="44">IF(B96&lt;$E$12,AG77,"")</f>
        <v/>
      </c>
      <c r="F97" s="216"/>
      <c r="G97" s="216" t="str">
        <f t="shared" ref="G97:G107" si="45">IF(B96&lt;$E$12,AI77,"")</f>
        <v/>
      </c>
      <c r="H97" s="216"/>
      <c r="I97" s="202"/>
      <c r="J97" s="52"/>
      <c r="K97" s="50"/>
      <c r="L97" s="50"/>
      <c r="M97" s="50"/>
      <c r="N97" s="50"/>
      <c r="O97" s="98"/>
      <c r="AO97" s="62"/>
    </row>
    <row r="98" spans="1:41" ht="14.1" customHeight="1" x14ac:dyDescent="0.3">
      <c r="A98" s="43"/>
      <c r="B98" s="215" t="str">
        <f t="shared" si="15"/>
        <v/>
      </c>
      <c r="C98" s="215"/>
      <c r="D98" s="205" t="str">
        <f t="shared" si="43"/>
        <v/>
      </c>
      <c r="E98" s="216" t="str">
        <f t="shared" si="44"/>
        <v/>
      </c>
      <c r="F98" s="216"/>
      <c r="G98" s="216" t="str">
        <f t="shared" si="45"/>
        <v/>
      </c>
      <c r="H98" s="216"/>
      <c r="I98" s="202"/>
      <c r="J98" s="52"/>
      <c r="K98" s="50"/>
      <c r="L98" s="50"/>
      <c r="M98" s="50"/>
      <c r="N98" s="50"/>
      <c r="O98" s="98"/>
      <c r="AO98" s="62"/>
    </row>
    <row r="99" spans="1:41" ht="14.1" customHeight="1" x14ac:dyDescent="0.3">
      <c r="A99" s="43"/>
      <c r="B99" s="215" t="str">
        <f t="shared" si="15"/>
        <v/>
      </c>
      <c r="C99" s="215"/>
      <c r="D99" s="205" t="str">
        <f t="shared" si="43"/>
        <v/>
      </c>
      <c r="E99" s="216" t="str">
        <f t="shared" si="44"/>
        <v/>
      </c>
      <c r="F99" s="216"/>
      <c r="G99" s="216" t="str">
        <f t="shared" si="45"/>
        <v/>
      </c>
      <c r="H99" s="216"/>
      <c r="I99" s="202"/>
      <c r="J99" s="52"/>
      <c r="K99" s="50"/>
      <c r="L99" s="50"/>
      <c r="M99" s="50"/>
      <c r="N99" s="50"/>
      <c r="AO99" s="62"/>
    </row>
    <row r="100" spans="1:41" ht="14.1" customHeight="1" x14ac:dyDescent="0.3">
      <c r="A100" s="43"/>
      <c r="B100" s="215" t="str">
        <f t="shared" si="15"/>
        <v/>
      </c>
      <c r="C100" s="215"/>
      <c r="D100" s="205" t="str">
        <f t="shared" si="43"/>
        <v/>
      </c>
      <c r="E100" s="216" t="str">
        <f t="shared" si="44"/>
        <v/>
      </c>
      <c r="F100" s="216"/>
      <c r="G100" s="216" t="str">
        <f t="shared" si="45"/>
        <v/>
      </c>
      <c r="H100" s="216"/>
      <c r="I100" s="202"/>
      <c r="J100" s="52"/>
      <c r="K100" s="50"/>
      <c r="L100" s="50"/>
      <c r="M100" s="50"/>
      <c r="N100" s="50"/>
      <c r="AO100" s="62"/>
    </row>
    <row r="101" spans="1:41" ht="14.1" customHeight="1" x14ac:dyDescent="0.3">
      <c r="A101" s="43"/>
      <c r="B101" s="215" t="str">
        <f t="shared" ref="B101:B107" si="46">IF(B100&lt;$E$12,B100+1,"")</f>
        <v/>
      </c>
      <c r="C101" s="215"/>
      <c r="D101" s="205" t="str">
        <f t="shared" si="43"/>
        <v/>
      </c>
      <c r="E101" s="216" t="str">
        <f t="shared" si="44"/>
        <v/>
      </c>
      <c r="F101" s="216"/>
      <c r="G101" s="216" t="str">
        <f t="shared" si="45"/>
        <v/>
      </c>
      <c r="H101" s="216"/>
      <c r="I101" s="202"/>
      <c r="J101" s="52"/>
      <c r="K101" s="50"/>
      <c r="L101" s="50"/>
      <c r="M101" s="50"/>
      <c r="N101" s="50"/>
      <c r="AO101" s="62"/>
    </row>
    <row r="102" spans="1:41" ht="14.1" customHeight="1" x14ac:dyDescent="0.3">
      <c r="A102" s="43"/>
      <c r="B102" s="215" t="str">
        <f t="shared" si="46"/>
        <v/>
      </c>
      <c r="C102" s="215"/>
      <c r="D102" s="205" t="str">
        <f t="shared" si="43"/>
        <v/>
      </c>
      <c r="E102" s="216" t="str">
        <f t="shared" si="44"/>
        <v/>
      </c>
      <c r="F102" s="216"/>
      <c r="G102" s="216" t="str">
        <f t="shared" si="45"/>
        <v/>
      </c>
      <c r="H102" s="216"/>
      <c r="I102" s="202"/>
      <c r="J102" s="52"/>
      <c r="K102" s="50"/>
      <c r="L102" s="50"/>
      <c r="M102" s="50"/>
      <c r="N102" s="50"/>
      <c r="AO102" s="62"/>
    </row>
    <row r="103" spans="1:41" ht="14.1" customHeight="1" x14ac:dyDescent="0.3">
      <c r="A103" s="43"/>
      <c r="B103" s="215" t="str">
        <f t="shared" si="46"/>
        <v/>
      </c>
      <c r="C103" s="215"/>
      <c r="D103" s="205" t="str">
        <f t="shared" si="43"/>
        <v/>
      </c>
      <c r="E103" s="216" t="str">
        <f t="shared" si="44"/>
        <v/>
      </c>
      <c r="F103" s="216"/>
      <c r="G103" s="216" t="str">
        <f t="shared" si="45"/>
        <v/>
      </c>
      <c r="H103" s="216"/>
      <c r="I103" s="202"/>
      <c r="J103" s="52"/>
      <c r="K103" s="50"/>
      <c r="L103" s="50"/>
      <c r="M103" s="50"/>
      <c r="N103" s="50"/>
      <c r="AO103" s="62"/>
    </row>
    <row r="104" spans="1:41" ht="14.1" customHeight="1" x14ac:dyDescent="0.3">
      <c r="A104" s="43"/>
      <c r="B104" s="215" t="str">
        <f t="shared" si="46"/>
        <v/>
      </c>
      <c r="C104" s="215"/>
      <c r="D104" s="205" t="str">
        <f t="shared" si="43"/>
        <v/>
      </c>
      <c r="E104" s="216" t="str">
        <f t="shared" si="44"/>
        <v/>
      </c>
      <c r="F104" s="216"/>
      <c r="G104" s="216" t="str">
        <f t="shared" si="45"/>
        <v/>
      </c>
      <c r="H104" s="216"/>
      <c r="I104" s="202"/>
      <c r="J104" s="52"/>
      <c r="K104" s="50"/>
      <c r="L104" s="50"/>
      <c r="M104" s="50"/>
      <c r="N104" s="50"/>
      <c r="AO104" s="62"/>
    </row>
    <row r="105" spans="1:41" ht="14.1" customHeight="1" x14ac:dyDescent="0.3">
      <c r="A105" s="43"/>
      <c r="B105" s="215" t="str">
        <f t="shared" si="46"/>
        <v/>
      </c>
      <c r="C105" s="215"/>
      <c r="D105" s="205" t="str">
        <f t="shared" si="43"/>
        <v/>
      </c>
      <c r="E105" s="216" t="str">
        <f t="shared" si="44"/>
        <v/>
      </c>
      <c r="F105" s="216"/>
      <c r="G105" s="216" t="str">
        <f t="shared" si="45"/>
        <v/>
      </c>
      <c r="H105" s="216"/>
      <c r="I105" s="202"/>
      <c r="J105" s="52"/>
      <c r="K105" s="50"/>
      <c r="L105" s="50"/>
      <c r="M105" s="50"/>
      <c r="N105" s="50"/>
      <c r="AO105" s="62"/>
    </row>
    <row r="106" spans="1:41" ht="14.1" customHeight="1" x14ac:dyDescent="0.3">
      <c r="A106" s="43"/>
      <c r="B106" s="215" t="str">
        <f t="shared" si="46"/>
        <v/>
      </c>
      <c r="C106" s="215"/>
      <c r="D106" s="205" t="str">
        <f t="shared" si="43"/>
        <v/>
      </c>
      <c r="E106" s="216" t="str">
        <f t="shared" si="44"/>
        <v/>
      </c>
      <c r="F106" s="216"/>
      <c r="G106" s="216" t="str">
        <f t="shared" si="45"/>
        <v/>
      </c>
      <c r="H106" s="216"/>
      <c r="I106" s="202"/>
      <c r="J106" s="52"/>
      <c r="K106" s="50"/>
      <c r="L106" s="50"/>
      <c r="M106" s="50"/>
      <c r="N106" s="50"/>
      <c r="AO106" s="62"/>
    </row>
    <row r="107" spans="1:41" x14ac:dyDescent="0.3">
      <c r="A107" s="43"/>
      <c r="B107" s="215" t="str">
        <f t="shared" si="46"/>
        <v/>
      </c>
      <c r="C107" s="215"/>
      <c r="D107" s="205" t="str">
        <f t="shared" si="43"/>
        <v/>
      </c>
      <c r="E107" s="216" t="str">
        <f t="shared" si="44"/>
        <v/>
      </c>
      <c r="F107" s="216"/>
      <c r="G107" s="216" t="str">
        <f t="shared" si="45"/>
        <v/>
      </c>
      <c r="H107" s="216"/>
      <c r="I107" s="201"/>
      <c r="J107" s="52"/>
      <c r="K107" s="50"/>
      <c r="L107" s="50"/>
      <c r="M107" s="50"/>
      <c r="N107" s="50"/>
      <c r="AO107" s="62"/>
    </row>
    <row r="108" spans="1:41" x14ac:dyDescent="0.3">
      <c r="A108" s="43"/>
      <c r="B108" s="206" t="str">
        <f>IF(E12=84,"Всього:","")</f>
        <v/>
      </c>
      <c r="C108" s="206"/>
      <c r="D108" s="205" t="str">
        <f>IF(E12=84,SUM(D24:D107),"")</f>
        <v/>
      </c>
      <c r="E108" s="216" t="str">
        <f>IF(E12=84,SUM(E24:F107),"")</f>
        <v/>
      </c>
      <c r="F108" s="216"/>
      <c r="G108" s="216" t="str">
        <f>IF(E12=84,SUM(G24:H107),"")</f>
        <v/>
      </c>
      <c r="H108" s="216"/>
      <c r="I108" s="113"/>
      <c r="J108" s="52"/>
      <c r="K108" s="50"/>
      <c r="L108" s="50"/>
      <c r="M108" s="50"/>
      <c r="N108" s="50"/>
      <c r="AO108" s="62"/>
    </row>
    <row r="109" spans="1:41" x14ac:dyDescent="0.3">
      <c r="A109" s="43"/>
      <c r="B109" s="118"/>
      <c r="C109" s="200"/>
      <c r="D109" s="61"/>
      <c r="E109" s="61"/>
      <c r="F109" s="61"/>
      <c r="G109" s="61"/>
      <c r="H109" s="217"/>
      <c r="I109" s="217"/>
      <c r="J109" s="52"/>
      <c r="K109" s="50"/>
      <c r="L109" s="50"/>
      <c r="M109" s="50"/>
      <c r="N109" s="50"/>
      <c r="AO109" s="62"/>
    </row>
    <row r="110" spans="1:41" x14ac:dyDescent="0.3">
      <c r="A110" s="43"/>
      <c r="B110" s="118"/>
      <c r="C110" s="200"/>
      <c r="D110" s="61"/>
      <c r="E110" s="61"/>
      <c r="F110" s="61"/>
      <c r="G110" s="61"/>
      <c r="H110" s="217"/>
      <c r="I110" s="217"/>
      <c r="J110" s="52"/>
      <c r="K110" s="50"/>
      <c r="L110" s="50"/>
      <c r="M110" s="50"/>
      <c r="N110" s="50"/>
      <c r="AO110" s="62"/>
    </row>
    <row r="111" spans="1:41" x14ac:dyDescent="0.3">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OQR0Zs+ZrrxGmWq3AZwWWe2dONn6NHNBagyLknlQ+gnwxZlpQ3g5fMEjA4TJz8Nh90pwA9CM710BvH9RWhJMxw==" saltValue="sztBHdRCGZu/Z7lwRIG5jw==" spinCount="100000" sheet="1" objects="1" scenarios="1"/>
  <mergeCells count="822">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AL2:AT2"/>
    <mergeCell ref="AC3:AD3"/>
    <mergeCell ref="AG3:AH3"/>
    <mergeCell ref="AI3:AJ3"/>
    <mergeCell ref="AL3:AM3"/>
    <mergeCell ref="AP3:AQ3"/>
    <mergeCell ref="AR3:AS3"/>
    <mergeCell ref="AL4:AM4"/>
    <mergeCell ref="AP4:AQ4"/>
    <mergeCell ref="AR4:AS4"/>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95:F95"/>
    <mergeCell ref="E96:F96"/>
    <mergeCell ref="E97:F97"/>
    <mergeCell ref="E98:F98"/>
    <mergeCell ref="G95:H95"/>
    <mergeCell ref="G96:H96"/>
    <mergeCell ref="G97:H97"/>
    <mergeCell ref="G98:H98"/>
    <mergeCell ref="B97:C97"/>
    <mergeCell ref="E101:F101"/>
    <mergeCell ref="E102:F102"/>
    <mergeCell ref="E103:F103"/>
    <mergeCell ref="G99:H99"/>
    <mergeCell ref="G100:H100"/>
    <mergeCell ref="G101:H101"/>
    <mergeCell ref="G102:H102"/>
    <mergeCell ref="G103:H103"/>
    <mergeCell ref="E104:F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s>
  <conditionalFormatting sqref="B23:H108">
    <cfRule type="expression" dxfId="42" priority="11">
      <formula>$X$2=1</formula>
    </cfRule>
  </conditionalFormatting>
  <conditionalFormatting sqref="B36:H36">
    <cfRule type="expression" dxfId="41" priority="12">
      <formula>$E$12=12</formula>
    </cfRule>
  </conditionalFormatting>
  <conditionalFormatting sqref="B48:H48">
    <cfRule type="expression" dxfId="40" priority="13">
      <formula>$E$12=24</formula>
    </cfRule>
  </conditionalFormatting>
  <conditionalFormatting sqref="B60:H60">
    <cfRule type="expression" dxfId="39" priority="14">
      <formula>$E$12=36</formula>
    </cfRule>
  </conditionalFormatting>
  <conditionalFormatting sqref="B72:H72">
    <cfRule type="expression" dxfId="38" priority="15">
      <formula>$E$12=48</formula>
    </cfRule>
  </conditionalFormatting>
  <conditionalFormatting sqref="B84:H84">
    <cfRule type="expression" dxfId="37" priority="16">
      <formula>$E$12=60</formula>
    </cfRule>
  </conditionalFormatting>
  <conditionalFormatting sqref="B96:H96">
    <cfRule type="expression" dxfId="36" priority="17">
      <formula>$E$12=72</formula>
    </cfRule>
  </conditionalFormatting>
  <conditionalFormatting sqref="B108:H108">
    <cfRule type="expression" dxfId="35" priority="18">
      <formula>$E$12=84</formula>
    </cfRule>
  </conditionalFormatting>
  <conditionalFormatting sqref="B22:N22">
    <cfRule type="expression" dxfId="34" priority="1">
      <formula>$X$2=1</formula>
    </cfRule>
  </conditionalFormatting>
  <conditionalFormatting sqref="E4">
    <cfRule type="expression" dxfId="33" priority="22">
      <formula>$V$3=0</formula>
    </cfRule>
  </conditionalFormatting>
  <conditionalFormatting sqref="E9">
    <cfRule type="cellIs" dxfId="32" priority="21" stopIfTrue="1" operator="equal">
      <formula>0.001</formula>
    </cfRule>
  </conditionalFormatting>
  <conditionalFormatting sqref="E14">
    <cfRule type="cellIs" dxfId="31" priority="57" stopIfTrue="1" operator="equal">
      <formula>0.001</formula>
    </cfRule>
  </conditionalFormatting>
  <conditionalFormatting sqref="E19">
    <cfRule type="cellIs" dxfId="30" priority="53" stopIfTrue="1" operator="equal">
      <formula>0.001</formula>
    </cfRule>
  </conditionalFormatting>
  <conditionalFormatting sqref="E21">
    <cfRule type="expression" dxfId="29" priority="6">
      <formula>$X$2=1</formula>
    </cfRule>
  </conditionalFormatting>
  <conditionalFormatting sqref="E4:F4">
    <cfRule type="cellIs" dxfId="28" priority="20" operator="equal">
      <formula>0</formula>
    </cfRule>
  </conditionalFormatting>
  <conditionalFormatting sqref="E12:F12">
    <cfRule type="cellIs" dxfId="27" priority="19" operator="equal">
      <formula>0</formula>
    </cfRule>
  </conditionalFormatting>
  <conditionalFormatting sqref="E14:F14">
    <cfRule type="expression" dxfId="26" priority="29" stopIfTrue="1">
      <formula>$X$2=1</formula>
    </cfRule>
  </conditionalFormatting>
  <conditionalFormatting sqref="E16:F17">
    <cfRule type="expression" dxfId="25" priority="28">
      <formula>$X$2=1</formula>
    </cfRule>
  </conditionalFormatting>
  <conditionalFormatting sqref="E19:F19">
    <cfRule type="expression" dxfId="24" priority="45">
      <formula>$X$2=1</formula>
    </cfRule>
  </conditionalFormatting>
  <conditionalFormatting sqref="F8">
    <cfRule type="expression" dxfId="23" priority="50">
      <formula>$X$3=0</formula>
    </cfRule>
  </conditionalFormatting>
  <conditionalFormatting sqref="F10">
    <cfRule type="expression" dxfId="22" priority="48">
      <formula>$X$3=0</formula>
    </cfRule>
  </conditionalFormatting>
  <conditionalFormatting sqref="N2">
    <cfRule type="expression" dxfId="21" priority="39">
      <formula>$U$4=1</formula>
    </cfRule>
  </conditionalFormatting>
  <conditionalFormatting sqref="N4">
    <cfRule type="expression" dxfId="20" priority="2" stopIfTrue="1">
      <formula>$U$4=1</formula>
    </cfRule>
    <cfRule type="expression" dxfId="19" priority="3">
      <formula>$X$4=1</formula>
    </cfRule>
  </conditionalFormatting>
  <conditionalFormatting sqref="N6">
    <cfRule type="expression" dxfId="18" priority="32">
      <formula>$X$2=1</formula>
    </cfRule>
    <cfRule type="expression" dxfId="17" priority="33">
      <formula>$U$4=1</formula>
    </cfRule>
  </conditionalFormatting>
  <conditionalFormatting sqref="N8">
    <cfRule type="expression" dxfId="16" priority="43">
      <formula>$X$2=1</formula>
    </cfRule>
  </conditionalFormatting>
  <conditionalFormatting sqref="N10">
    <cfRule type="expression" dxfId="15" priority="23">
      <formula>$X$2=1</formula>
    </cfRule>
  </conditionalFormatting>
  <conditionalFormatting sqref="N13:N14">
    <cfRule type="expression" dxfId="14" priority="27">
      <formula>$X$2=1</formula>
    </cfRule>
  </conditionalFormatting>
  <conditionalFormatting sqref="N16">
    <cfRule type="expression" dxfId="13" priority="31">
      <formula>$X$2=1</formula>
    </cfRule>
  </conditionalFormatting>
  <conditionalFormatting sqref="N18:N19">
    <cfRule type="expression" dxfId="12" priority="26">
      <formula>$X$2=1</formula>
    </cfRule>
  </conditionalFormatting>
  <conditionalFormatting sqref="N21">
    <cfRule type="expression" dxfId="11" priority="34">
      <formula>$X$2=1</formula>
    </cfRule>
  </conditionalFormatting>
  <conditionalFormatting sqref="U2">
    <cfRule type="cellIs" dxfId="10" priority="56" stopIfTrue="1" operator="equal">
      <formula>"Авансовий платіж достатній"</formula>
    </cfRule>
  </conditionalFormatting>
  <conditionalFormatting sqref="X18">
    <cfRule type="cellIs" dxfId="9" priority="80" stopIfTrue="1" operator="equal">
      <formula>#REF!=$S$28</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CG1" zoomScale="80" zoomScaleNormal="80" zoomScaleSheetLayoutView="80" workbookViewId="0">
      <selection activeCell="DB26" sqref="DB26"/>
    </sheetView>
  </sheetViews>
  <sheetFormatPr defaultColWidth="8.77734375" defaultRowHeight="14.4" x14ac:dyDescent="0.3"/>
  <cols>
    <col min="1" max="1" width="8.77734375" style="186" hidden="1" customWidth="1"/>
    <col min="2" max="2" width="8.77734375" style="160" hidden="1" customWidth="1"/>
    <col min="3" max="3" width="13.21875" style="160" hidden="1" customWidth="1"/>
    <col min="4" max="4" width="12.44140625" style="160" hidden="1" customWidth="1"/>
    <col min="5" max="83" width="8.77734375" style="160" hidden="1" customWidth="1"/>
    <col min="84" max="84" width="0" style="160" hidden="1" customWidth="1"/>
    <col min="85" max="16384" width="8.77734375" style="160"/>
  </cols>
  <sheetData>
    <row r="1" spans="2:94" x14ac:dyDescent="0.3">
      <c r="B1" s="158"/>
      <c r="C1" s="159"/>
      <c r="D1" s="159"/>
      <c r="Q1" s="160" t="s">
        <v>223</v>
      </c>
      <c r="AB1" s="160" t="s">
        <v>76</v>
      </c>
      <c r="AK1" s="160" t="s">
        <v>77</v>
      </c>
    </row>
    <row r="2" spans="2:94" x14ac:dyDescent="0.3">
      <c r="B2" s="161" t="s">
        <v>284</v>
      </c>
      <c r="C2" s="162"/>
      <c r="D2" s="162"/>
      <c r="G2" s="160" t="s">
        <v>225</v>
      </c>
      <c r="I2" s="160" t="s">
        <v>4</v>
      </c>
      <c r="N2" s="160" t="s">
        <v>228</v>
      </c>
      <c r="Q2" s="160">
        <v>12</v>
      </c>
      <c r="AB2" s="160" t="s">
        <v>231</v>
      </c>
      <c r="AK2" s="160" t="s">
        <v>231</v>
      </c>
    </row>
    <row r="3" spans="2:94" x14ac:dyDescent="0.3">
      <c r="C3" s="163"/>
      <c r="D3" s="163"/>
      <c r="Q3" s="160">
        <v>24</v>
      </c>
      <c r="AA3" s="160" t="s">
        <v>237</v>
      </c>
      <c r="AB3" s="160" t="s">
        <v>182</v>
      </c>
      <c r="AD3" s="160" t="s">
        <v>233</v>
      </c>
      <c r="AE3" s="160" t="s">
        <v>234</v>
      </c>
      <c r="AF3" s="160" t="s">
        <v>235</v>
      </c>
      <c r="AH3" s="160" t="s">
        <v>236</v>
      </c>
      <c r="AJ3" s="160" t="s">
        <v>237</v>
      </c>
      <c r="AK3" s="160" t="s">
        <v>182</v>
      </c>
      <c r="AM3" s="160" t="s">
        <v>233</v>
      </c>
      <c r="AN3" s="160" t="s">
        <v>234</v>
      </c>
      <c r="AO3" s="160" t="s">
        <v>235</v>
      </c>
      <c r="AQ3" s="160" t="s">
        <v>236</v>
      </c>
      <c r="AS3" s="160" t="s">
        <v>188</v>
      </c>
    </row>
    <row r="4" spans="2:94" x14ac:dyDescent="0.3">
      <c r="B4" s="160" t="s">
        <v>238</v>
      </c>
      <c r="C4" s="163"/>
      <c r="D4" s="163"/>
      <c r="G4" s="160">
        <f>'Калькулятор '!E4</f>
        <v>2550000</v>
      </c>
      <c r="I4" s="160" t="s">
        <v>285</v>
      </c>
      <c r="N4" s="160" t="str">
        <f>IF($G$4&gt;0,$P$40,"Ні")</f>
        <v/>
      </c>
      <c r="Q4" s="160">
        <v>36</v>
      </c>
      <c r="S4" s="160">
        <f>IF($G$6=0,1,IF($G$4*$G$6=$G$7,2,3))</f>
        <v>3</v>
      </c>
      <c r="T4" s="160">
        <f>IF(G2="Сума авансового платежу перевищує вартість авто",1,IF(G2="Сума авансового платежу дорівнює вартості авто",1,IF(G2="Сума авансового платежу недостатня",1,0)))</f>
        <v>0</v>
      </c>
      <c r="AA4" s="160">
        <f ca="1">Ануїтетна_графік_Авто!G5</f>
        <v>46074</v>
      </c>
      <c r="AB4" s="160">
        <v>1</v>
      </c>
      <c r="AD4" s="160" t="e">
        <f ca="1">Ануїтетна_графік_Авто!J5</f>
        <v>#VALUE!</v>
      </c>
      <c r="AF4" s="160" t="e">
        <f ca="1">Ануїтетна_графік_Авто!K5</f>
        <v>#VALUE!</v>
      </c>
      <c r="AH4" s="160" t="e">
        <f ca="1">Ануїтетна_графік_Авто!M5</f>
        <v>#VALUE!</v>
      </c>
      <c r="AJ4" s="160">
        <f ca="1">Ануїтетна_графік_Авто!G5</f>
        <v>46074</v>
      </c>
      <c r="AK4" s="160">
        <v>1</v>
      </c>
      <c r="AM4" s="160" t="e">
        <f ca="1">Ануїтетна_графік_Авто!J5</f>
        <v>#VALUE!</v>
      </c>
      <c r="AO4" s="160" t="e">
        <f ca="1">Ануїтетна_графік_Авто!K5</f>
        <v>#VALUE!</v>
      </c>
      <c r="AQ4" s="160" t="e">
        <f ca="1">Ануїтетна_графік_Авто!M5</f>
        <v>#VALUE!</v>
      </c>
    </row>
    <row r="5" spans="2:94" x14ac:dyDescent="0.3">
      <c r="C5" s="163"/>
      <c r="D5" s="163"/>
      <c r="Q5" s="160">
        <v>48</v>
      </c>
      <c r="AA5" s="160">
        <f ca="1">Ануїтетна_графік_Авто!G6</f>
        <v>46102</v>
      </c>
      <c r="AB5" s="160">
        <v>2</v>
      </c>
      <c r="AD5" s="160" t="e">
        <f ca="1">Ануїтетна_графік_Авто!J6</f>
        <v>#VALUE!</v>
      </c>
      <c r="AF5" s="160" t="e">
        <f ca="1">Ануїтетна_графік_Авто!K6</f>
        <v>#VALUE!</v>
      </c>
      <c r="AH5" s="160" t="e">
        <f ca="1">Ануїтетна_графік_Авто!M6</f>
        <v>#VALUE!</v>
      </c>
      <c r="AJ5" s="160">
        <f t="shared" ref="AJ5:AJ68" ca="1" si="0">IF(AK5="","",DATE(YEAR(AJ4),MONTH(AJ4)+2,DAY(1)-1))</f>
        <v>46112</v>
      </c>
      <c r="AK5" s="160">
        <v>2</v>
      </c>
      <c r="AM5" s="160" t="e">
        <f ca="1">Ануїтетна_графік_Авто!J6</f>
        <v>#VALUE!</v>
      </c>
      <c r="AO5" s="160" t="e">
        <f ca="1">Ануїтетна_графік_Авто!K6</f>
        <v>#VALUE!</v>
      </c>
      <c r="AQ5" s="160" t="e">
        <f ca="1">Ануїтетна_графік_Авто!M6</f>
        <v>#VALUE!</v>
      </c>
      <c r="AS5" s="160" t="e">
        <f ca="1">$G$19-AM4</f>
        <v>#VALUE!</v>
      </c>
    </row>
    <row r="6" spans="2:94" x14ac:dyDescent="0.3">
      <c r="B6" s="160" t="s">
        <v>286</v>
      </c>
      <c r="C6" s="163"/>
      <c r="D6" s="163"/>
      <c r="G6" s="160">
        <v>300000</v>
      </c>
      <c r="I6" s="160" t="s">
        <v>254</v>
      </c>
      <c r="N6" s="160">
        <f>Q40</f>
        <v>13.99</v>
      </c>
      <c r="Q6" s="160">
        <v>60</v>
      </c>
      <c r="AA6" s="160">
        <f ca="1">Ануїтетна_графік_Авто!G7</f>
        <v>46133</v>
      </c>
      <c r="AB6" s="160">
        <v>3</v>
      </c>
      <c r="AD6" s="160" t="e">
        <f ca="1">Ануїтетна_графік_Авто!J7</f>
        <v>#VALUE!</v>
      </c>
      <c r="AF6" s="160" t="e">
        <f ca="1">Ануїтетна_графік_Авто!K7</f>
        <v>#VALUE!</v>
      </c>
      <c r="AH6" s="160" t="e">
        <f ca="1">Ануїтетна_графік_Авто!M7</f>
        <v>#VALUE!</v>
      </c>
      <c r="AJ6" s="160">
        <f t="shared" ca="1" si="0"/>
        <v>46142</v>
      </c>
      <c r="AK6" s="160">
        <v>3</v>
      </c>
      <c r="AM6" s="160" t="e">
        <f ca="1">Ануїтетна_графік_Авто!J7</f>
        <v>#VALUE!</v>
      </c>
      <c r="AO6" s="160" t="e">
        <f ca="1">Ануїтетна_графік_Авто!K7</f>
        <v>#VALUE!</v>
      </c>
      <c r="AQ6" s="160" t="e">
        <f ca="1">Ануїтетна_графік_Авто!M7</f>
        <v>#VALUE!</v>
      </c>
      <c r="AS6" s="160" t="e">
        <f t="shared" ref="AS6:AS69" ca="1" si="1">AS5-AM5</f>
        <v>#VALUE!</v>
      </c>
    </row>
    <row r="7" spans="2:94" x14ac:dyDescent="0.3">
      <c r="B7" s="160" t="s">
        <v>287</v>
      </c>
      <c r="C7" s="163"/>
      <c r="D7" s="163"/>
      <c r="G7" s="160">
        <f>IF(G6="","",IF(G6&lt;100,G4*G6,G6/G4))</f>
        <v>0.11764705882352941</v>
      </c>
      <c r="AA7" s="160">
        <f ca="1">Ануїтетна_графік_Авто!G8</f>
        <v>46163</v>
      </c>
      <c r="AB7" s="160">
        <v>4</v>
      </c>
      <c r="AD7" s="160" t="e">
        <f ca="1">Ануїтетна_графік_Авто!J8</f>
        <v>#VALUE!</v>
      </c>
      <c r="AF7" s="160" t="e">
        <f ca="1">Ануїтетна_графік_Авто!K8</f>
        <v>#VALUE!</v>
      </c>
      <c r="AH7" s="160" t="e">
        <f ca="1">Ануїтетна_графік_Авто!M8</f>
        <v>#VALUE!</v>
      </c>
      <c r="AJ7" s="160">
        <f t="shared" ca="1" si="0"/>
        <v>46173</v>
      </c>
      <c r="AK7" s="160">
        <v>4</v>
      </c>
      <c r="AM7" s="160" t="e">
        <f ca="1">Ануїтетна_графік_Авто!J8</f>
        <v>#VALUE!</v>
      </c>
      <c r="AO7" s="160" t="e">
        <f ca="1">Ануїтетна_графік_Авто!K8</f>
        <v>#VALUE!</v>
      </c>
      <c r="AQ7" s="160" t="e">
        <f ca="1">Ануїтетна_графік_Авто!M8</f>
        <v>#VALUE!</v>
      </c>
      <c r="AS7" s="160" t="e">
        <f t="shared" ca="1" si="1"/>
        <v>#VALUE!</v>
      </c>
      <c r="CP7" s="160" t="s">
        <v>288</v>
      </c>
    </row>
    <row r="8" spans="2:94" x14ac:dyDescent="0.3">
      <c r="C8" s="163"/>
      <c r="D8" s="163"/>
      <c r="I8" s="160" t="s">
        <v>252</v>
      </c>
      <c r="N8" s="160">
        <f>'Калькулятор '!E12</f>
        <v>60</v>
      </c>
      <c r="AA8" s="160">
        <f ca="1">Ануїтетна_графік_Авто!G9</f>
        <v>46194</v>
      </c>
      <c r="AB8" s="160">
        <v>5</v>
      </c>
      <c r="AD8" s="160" t="e">
        <f ca="1">Ануїтетна_графік_Авто!J9</f>
        <v>#VALUE!</v>
      </c>
      <c r="AF8" s="160" t="e">
        <f ca="1">Ануїтетна_графік_Авто!K9</f>
        <v>#VALUE!</v>
      </c>
      <c r="AH8" s="160" t="e">
        <f ca="1">Ануїтетна_графік_Авто!M9</f>
        <v>#VALUE!</v>
      </c>
      <c r="AJ8" s="160">
        <f t="shared" ca="1" si="0"/>
        <v>46203</v>
      </c>
      <c r="AK8" s="160">
        <v>5</v>
      </c>
      <c r="AM8" s="160" t="e">
        <f ca="1">Ануїтетна_графік_Авто!J9</f>
        <v>#VALUE!</v>
      </c>
      <c r="AO8" s="160" t="e">
        <f ca="1">Ануїтетна_графік_Авто!K9</f>
        <v>#VALUE!</v>
      </c>
      <c r="AQ8" s="160" t="e">
        <f ca="1">Ануїтетна_графік_Авто!M9</f>
        <v>#VALUE!</v>
      </c>
      <c r="AS8" s="160" t="e">
        <f t="shared" ca="1" si="1"/>
        <v>#VALUE!</v>
      </c>
    </row>
    <row r="9" spans="2:94" x14ac:dyDescent="0.3">
      <c r="B9" s="160" t="s">
        <v>289</v>
      </c>
      <c r="C9" s="163"/>
      <c r="D9" s="163"/>
      <c r="G9" s="160">
        <v>9.9000000000000008E-3</v>
      </c>
      <c r="AA9" s="160">
        <f ca="1">Ануїтетна_графік_Авто!G10</f>
        <v>46224</v>
      </c>
      <c r="AB9" s="160">
        <v>6</v>
      </c>
      <c r="AD9" s="160" t="e">
        <f ca="1">Ануїтетна_графік_Авто!J10</f>
        <v>#VALUE!</v>
      </c>
      <c r="AF9" s="160" t="e">
        <f ca="1">Ануїтетна_графік_Авто!K10</f>
        <v>#VALUE!</v>
      </c>
      <c r="AH9" s="160" t="e">
        <f ca="1">Ануїтетна_графік_Авто!M10</f>
        <v>#VALUE!</v>
      </c>
      <c r="AJ9" s="160">
        <f t="shared" ca="1" si="0"/>
        <v>46234</v>
      </c>
      <c r="AK9" s="160">
        <v>6</v>
      </c>
      <c r="AM9" s="160" t="e">
        <f ca="1">Ануїтетна_графік_Авто!J10</f>
        <v>#VALUE!</v>
      </c>
      <c r="AO9" s="160" t="e">
        <f ca="1">Ануїтетна_графік_Авто!K10</f>
        <v>#VALUE!</v>
      </c>
      <c r="AQ9" s="160" t="e">
        <f ca="1">Ануїтетна_графік_Авто!M10</f>
        <v>#VALUE!</v>
      </c>
      <c r="AS9" s="160" t="e">
        <f t="shared" ca="1" si="1"/>
        <v>#VALUE!</v>
      </c>
    </row>
    <row r="10" spans="2:94" x14ac:dyDescent="0.3">
      <c r="C10" s="163"/>
      <c r="D10" s="163"/>
      <c r="G10" s="160">
        <f>IF(Q15="",0,ROUND(Q15*G9,2))</f>
        <v>22275</v>
      </c>
      <c r="AA10" s="160">
        <f ca="1">Ануїтетна_графік_Авто!G11</f>
        <v>46255</v>
      </c>
      <c r="AB10" s="160">
        <v>7</v>
      </c>
      <c r="AD10" s="160" t="e">
        <f ca="1">Ануїтетна_графік_Авто!J11</f>
        <v>#VALUE!</v>
      </c>
      <c r="AF10" s="160" t="e">
        <f ca="1">Ануїтетна_графік_Авто!K11</f>
        <v>#VALUE!</v>
      </c>
      <c r="AH10" s="160" t="e">
        <f ca="1">Ануїтетна_графік_Авто!M11</f>
        <v>#VALUE!</v>
      </c>
      <c r="AJ10" s="160">
        <f t="shared" ca="1" si="0"/>
        <v>46265</v>
      </c>
      <c r="AK10" s="160">
        <v>7</v>
      </c>
      <c r="AM10" s="160" t="e">
        <f ca="1">Ануїтетна_графік_Авто!J11</f>
        <v>#VALUE!</v>
      </c>
      <c r="AO10" s="160" t="e">
        <f ca="1">Ануїтетна_графік_Авто!K11</f>
        <v>#VALUE!</v>
      </c>
      <c r="AQ10" s="160" t="e">
        <f ca="1">Ануїтетна_графік_Авто!M11</f>
        <v>#VALUE!</v>
      </c>
      <c r="AS10" s="160" t="e">
        <f t="shared" ca="1" si="1"/>
        <v>#VALUE!</v>
      </c>
    </row>
    <row r="11" spans="2:94" x14ac:dyDescent="0.3">
      <c r="H11" s="160" t="s">
        <v>290</v>
      </c>
      <c r="Q11" s="160" t="s">
        <v>251</v>
      </c>
      <c r="AA11" s="160">
        <f ca="1">Ануїтетна_графік_Авто!G12</f>
        <v>46286</v>
      </c>
      <c r="AB11" s="160">
        <v>8</v>
      </c>
      <c r="AD11" s="160" t="e">
        <f ca="1">Ануїтетна_графік_Авто!J12</f>
        <v>#VALUE!</v>
      </c>
      <c r="AF11" s="160" t="e">
        <f ca="1">Ануїтетна_графік_Авто!K12</f>
        <v>#VALUE!</v>
      </c>
      <c r="AH11" s="160" t="e">
        <f ca="1">Ануїтетна_графік_Авто!M12</f>
        <v>#VALUE!</v>
      </c>
      <c r="AJ11" s="160">
        <f t="shared" ca="1" si="0"/>
        <v>46295</v>
      </c>
      <c r="AK11" s="160">
        <v>8</v>
      </c>
      <c r="AM11" s="160" t="e">
        <f ca="1">Ануїтетна_графік_Авто!J12</f>
        <v>#VALUE!</v>
      </c>
      <c r="AO11" s="160" t="e">
        <f ca="1">Ануїтетна_графік_Авто!K12</f>
        <v>#VALUE!</v>
      </c>
      <c r="AQ11" s="160" t="e">
        <f ca="1">Ануїтетна_графік_Авто!M12</f>
        <v>#VALUE!</v>
      </c>
      <c r="AS11" s="160" t="e">
        <f t="shared" ca="1" si="1"/>
        <v>#VALUE!</v>
      </c>
    </row>
    <row r="12" spans="2:94" x14ac:dyDescent="0.3">
      <c r="B12" s="161" t="s">
        <v>291</v>
      </c>
      <c r="C12" s="161"/>
      <c r="H12" s="160">
        <v>0</v>
      </c>
      <c r="I12" s="160" t="s">
        <v>292</v>
      </c>
      <c r="N12" s="160">
        <f>ROUND(Q16*G12,2)+(G12*IF(G16="Так",N15,0))</f>
        <v>0</v>
      </c>
      <c r="Q12" s="160">
        <f>IF(OR(Q2=N8,Q3=N8),2.99%,0%)</f>
        <v>0</v>
      </c>
      <c r="AA12" s="160">
        <f ca="1">Ануїтетна_графік_Авто!G13</f>
        <v>46316</v>
      </c>
      <c r="AB12" s="160">
        <v>9</v>
      </c>
      <c r="AD12" s="160" t="e">
        <f ca="1">Ануїтетна_графік_Авто!J13</f>
        <v>#VALUE!</v>
      </c>
      <c r="AF12" s="160" t="e">
        <f ca="1">Ануїтетна_графік_Авто!K13</f>
        <v>#VALUE!</v>
      </c>
      <c r="AH12" s="160" t="e">
        <f ca="1">Ануїтетна_графік_Авто!M13</f>
        <v>#VALUE!</v>
      </c>
      <c r="AJ12" s="160">
        <f t="shared" ca="1" si="0"/>
        <v>46326</v>
      </c>
      <c r="AK12" s="160">
        <v>9</v>
      </c>
      <c r="AM12" s="160" t="e">
        <f ca="1">Ануїтетна_графік_Авто!J13</f>
        <v>#VALUE!</v>
      </c>
      <c r="AO12" s="160" t="e">
        <f ca="1">Ануїтетна_графік_Авто!K13</f>
        <v>#VALUE!</v>
      </c>
      <c r="AQ12" s="160" t="e">
        <f ca="1">Ануїтетна_графік_Авто!M13</f>
        <v>#VALUE!</v>
      </c>
      <c r="AS12" s="160" t="e">
        <f t="shared" ca="1" si="1"/>
        <v>#VALUE!</v>
      </c>
    </row>
    <row r="13" spans="2:94" x14ac:dyDescent="0.3">
      <c r="B13" s="160" t="s">
        <v>293</v>
      </c>
      <c r="C13" s="163"/>
      <c r="Q13" s="160">
        <f>IF(Q12=0,0%,5.99%)</f>
        <v>0</v>
      </c>
      <c r="AA13" s="160">
        <f ca="1">Ануїтетна_графік_Авто!G14</f>
        <v>46347</v>
      </c>
      <c r="AB13" s="160">
        <v>10</v>
      </c>
      <c r="AD13" s="160" t="e">
        <f ca="1">Ануїтетна_графік_Авто!J14</f>
        <v>#VALUE!</v>
      </c>
      <c r="AF13" s="160" t="e">
        <f ca="1">Ануїтетна_графік_Авто!K14</f>
        <v>#VALUE!</v>
      </c>
      <c r="AH13" s="160" t="e">
        <f ca="1">Ануїтетна_графік_Авто!M14</f>
        <v>#VALUE!</v>
      </c>
      <c r="AJ13" s="160">
        <f t="shared" ca="1" si="0"/>
        <v>46356</v>
      </c>
      <c r="AK13" s="160">
        <v>10</v>
      </c>
      <c r="AM13" s="160" t="e">
        <f ca="1">Ануїтетна_графік_Авто!J14</f>
        <v>#VALUE!</v>
      </c>
      <c r="AO13" s="160" t="e">
        <f ca="1">Ануїтетна_графік_Авто!K14</f>
        <v>#VALUE!</v>
      </c>
      <c r="AQ13" s="160" t="e">
        <f ca="1">Ануїтетна_графік_Авто!M14</f>
        <v>#VALUE!</v>
      </c>
      <c r="AS13" s="160" t="e">
        <f t="shared" ca="1" si="1"/>
        <v>#VALUE!</v>
      </c>
    </row>
    <row r="14" spans="2:94" x14ac:dyDescent="0.3">
      <c r="C14" s="163"/>
      <c r="Q14" s="160" t="s">
        <v>172</v>
      </c>
      <c r="W14" s="160" t="s">
        <v>255</v>
      </c>
      <c r="AA14" s="160">
        <f ca="1">Ануїтетна_графік_Авто!G15</f>
        <v>46377</v>
      </c>
      <c r="AB14" s="160">
        <v>11</v>
      </c>
      <c r="AD14" s="160" t="e">
        <f ca="1">Ануїтетна_графік_Авто!J15</f>
        <v>#VALUE!</v>
      </c>
      <c r="AF14" s="160" t="e">
        <f ca="1">Ануїтетна_графік_Авто!K15</f>
        <v>#VALUE!</v>
      </c>
      <c r="AH14" s="160" t="e">
        <f ca="1">Ануїтетна_графік_Авто!M15</f>
        <v>#VALUE!</v>
      </c>
      <c r="AJ14" s="160">
        <f t="shared" ca="1" si="0"/>
        <v>46387</v>
      </c>
      <c r="AK14" s="160">
        <v>11</v>
      </c>
      <c r="AM14" s="160" t="e">
        <f ca="1">Ануїтетна_графік_Авто!J15</f>
        <v>#VALUE!</v>
      </c>
      <c r="AO14" s="160" t="e">
        <f ca="1">Ануїтетна_графік_Авто!K15</f>
        <v>#VALUE!</v>
      </c>
      <c r="AQ14" s="160" t="e">
        <f ca="1">Ануїтетна_графік_Авто!M15</f>
        <v>#VALUE!</v>
      </c>
      <c r="AS14" s="160" t="e">
        <f t="shared" ca="1" si="1"/>
        <v>#VALUE!</v>
      </c>
    </row>
    <row r="15" spans="2:94" x14ac:dyDescent="0.3">
      <c r="B15" s="160" t="s">
        <v>294</v>
      </c>
      <c r="C15" s="163"/>
      <c r="G15" s="160">
        <v>5.16E-2</v>
      </c>
      <c r="I15" s="160" t="s">
        <v>295</v>
      </c>
      <c r="N15" s="160">
        <f>ROUND(G4*G15,2)</f>
        <v>131580</v>
      </c>
      <c r="P15" s="160" t="s">
        <v>256</v>
      </c>
      <c r="Q15" s="160">
        <f>$G$4-IF($S$4=1,0,IF($S$4=3,$G$6,IF($S$4=2,$G$4*$G$6)))+IF($G$13="Так",$N$12,0)+IF($G$16="Так",$N$15,0)</f>
        <v>2250000</v>
      </c>
      <c r="W15" s="160" t="s">
        <v>16</v>
      </c>
      <c r="AA15" s="160">
        <f ca="1">Ануїтетна_графік_Авто!G16</f>
        <v>46408</v>
      </c>
      <c r="AB15" s="160">
        <v>12</v>
      </c>
      <c r="AD15" s="160" t="e">
        <f ca="1">Ануїтетна_графік_Авто!J16</f>
        <v>#VALUE!</v>
      </c>
      <c r="AF15" s="160" t="e">
        <f ca="1">Ануїтетна_графік_Авто!K16</f>
        <v>#VALUE!</v>
      </c>
      <c r="AH15" s="160" t="e">
        <f ca="1">Ануїтетна_графік_Авто!M16</f>
        <v>#VALUE!</v>
      </c>
      <c r="AJ15" s="160">
        <f t="shared" ca="1" si="0"/>
        <v>46418</v>
      </c>
      <c r="AK15" s="160">
        <v>12</v>
      </c>
      <c r="AM15" s="160" t="e">
        <f ca="1">Ануїтетна_графік_Авто!J16</f>
        <v>#VALUE!</v>
      </c>
      <c r="AO15" s="160" t="e">
        <f ca="1">Ануїтетна_графік_Авто!K16</f>
        <v>#VALUE!</v>
      </c>
      <c r="AQ15" s="160" t="e">
        <f ca="1">Ануїтетна_графік_Авто!M16</f>
        <v>#VALUE!</v>
      </c>
      <c r="AS15" s="160" t="e">
        <f t="shared" ca="1" si="1"/>
        <v>#VALUE!</v>
      </c>
    </row>
    <row r="16" spans="2:94" x14ac:dyDescent="0.3">
      <c r="C16" s="163"/>
      <c r="P16" s="160" t="s">
        <v>296</v>
      </c>
      <c r="Q16" s="160">
        <f>$G$4-IF($S$4=3,$G$6,IF($S$4=2,$G$4*$G$6))</f>
        <v>2250000</v>
      </c>
      <c r="AA16" s="160">
        <f ca="1">Ануїтетна_графік_Авто!G17</f>
        <v>46439</v>
      </c>
      <c r="AB16" s="160">
        <v>13</v>
      </c>
      <c r="AD16" s="160" t="e">
        <f ca="1">Ануїтетна_графік_Авто!J17</f>
        <v>#VALUE!</v>
      </c>
      <c r="AF16" s="160" t="e">
        <f ca="1">Ануїтетна_графік_Авто!K17</f>
        <v>#VALUE!</v>
      </c>
      <c r="AH16" s="160" t="e">
        <f ca="1">Ануїтетна_графік_Авто!M17</f>
        <v>#VALUE!</v>
      </c>
      <c r="AJ16" s="160">
        <f t="shared" ca="1" si="0"/>
        <v>46446</v>
      </c>
      <c r="AK16" s="160">
        <v>13</v>
      </c>
      <c r="AM16" s="160" t="e">
        <f ca="1">Ануїтетна_графік_Авто!J17</f>
        <v>#VALUE!</v>
      </c>
      <c r="AO16" s="160" t="e">
        <f ca="1">Ануїтетна_графік_Авто!K17</f>
        <v>#VALUE!</v>
      </c>
      <c r="AQ16" s="160" t="e">
        <f ca="1">Ануїтетна_графік_Авто!M17</f>
        <v>#VALUE!</v>
      </c>
      <c r="AS16" s="160" t="e">
        <f t="shared" ca="1" si="1"/>
        <v>#VALUE!</v>
      </c>
    </row>
    <row r="17" spans="2:45" x14ac:dyDescent="0.3">
      <c r="C17" s="163"/>
      <c r="W17" s="160" t="s">
        <v>228</v>
      </c>
      <c r="AA17" s="160">
        <f ca="1">Ануїтетна_графік_Авто!G18</f>
        <v>46467</v>
      </c>
      <c r="AB17" s="160">
        <v>14</v>
      </c>
      <c r="AD17" s="160" t="e">
        <f ca="1">Ануїтетна_графік_Авто!J18</f>
        <v>#VALUE!</v>
      </c>
      <c r="AF17" s="160" t="e">
        <f ca="1">Ануїтетна_графік_Авто!K18</f>
        <v>#VALUE!</v>
      </c>
      <c r="AH17" s="160" t="e">
        <f ca="1">Ануїтетна_графік_Авто!M18</f>
        <v>#VALUE!</v>
      </c>
      <c r="AJ17" s="160">
        <f t="shared" ca="1" si="0"/>
        <v>46477</v>
      </c>
      <c r="AK17" s="160">
        <v>14</v>
      </c>
      <c r="AM17" s="160" t="e">
        <f ca="1">Ануїтетна_графік_Авто!J18</f>
        <v>#VALUE!</v>
      </c>
      <c r="AO17" s="160" t="e">
        <f ca="1">Ануїтетна_графік_Авто!K18</f>
        <v>#VALUE!</v>
      </c>
      <c r="AQ17" s="160" t="e">
        <f ca="1">Ануїтетна_графік_Авто!M18</f>
        <v>#VALUE!</v>
      </c>
      <c r="AS17" s="160" t="e">
        <f t="shared" ca="1" si="1"/>
        <v>#VALUE!</v>
      </c>
    </row>
    <row r="18" spans="2:45" x14ac:dyDescent="0.3">
      <c r="W18" s="160" t="str">
        <f>IF(OR(G2=R28,G2=R31),"Класична","")</f>
        <v/>
      </c>
      <c r="AA18" s="160">
        <f ca="1">Ануїтетна_графік_Авто!G19</f>
        <v>46498</v>
      </c>
      <c r="AB18" s="160">
        <v>15</v>
      </c>
      <c r="AD18" s="160" t="e">
        <f ca="1">Ануїтетна_графік_Авто!J19</f>
        <v>#VALUE!</v>
      </c>
      <c r="AF18" s="160" t="e">
        <f ca="1">Ануїтетна_графік_Авто!K19</f>
        <v>#VALUE!</v>
      </c>
      <c r="AH18" s="160" t="e">
        <f ca="1">Ануїтетна_графік_Авто!M19</f>
        <v>#VALUE!</v>
      </c>
      <c r="AJ18" s="160">
        <f t="shared" ca="1" si="0"/>
        <v>46507</v>
      </c>
      <c r="AK18" s="160">
        <v>15</v>
      </c>
      <c r="AM18" s="160" t="e">
        <f ca="1">Ануїтетна_графік_Авто!J19</f>
        <v>#VALUE!</v>
      </c>
      <c r="AO18" s="160" t="e">
        <f ca="1">Ануїтетна_графік_Авто!K19</f>
        <v>#VALUE!</v>
      </c>
      <c r="AQ18" s="160" t="e">
        <f ca="1">Ануїтетна_графік_Авто!M19</f>
        <v>#VALUE!</v>
      </c>
      <c r="AS18" s="160" t="e">
        <f t="shared" ca="1" si="1"/>
        <v>#VALUE!</v>
      </c>
    </row>
    <row r="19" spans="2:45" x14ac:dyDescent="0.3">
      <c r="B19" s="160" t="s">
        <v>172</v>
      </c>
      <c r="G19" s="160">
        <f>G4-IF(S4=1,0,IF(S4=2,G4*G6,IF(S4=3,G6)))+IF(N10="Так",G10,0)</f>
        <v>2250000</v>
      </c>
      <c r="Q19" s="160" t="s">
        <v>263</v>
      </c>
      <c r="T19" s="160" t="s">
        <v>264</v>
      </c>
      <c r="U19" s="160">
        <f ca="1">TODAY()</f>
        <v>46043</v>
      </c>
      <c r="W19" s="160">
        <v>1</v>
      </c>
      <c r="X19" s="160">
        <v>31</v>
      </c>
      <c r="AA19" s="160">
        <f ca="1">Ануїтетна_графік_Авто!G20</f>
        <v>46528</v>
      </c>
      <c r="AB19" s="160">
        <v>16</v>
      </c>
      <c r="AD19" s="160" t="e">
        <f ca="1">Ануїтетна_графік_Авто!J20</f>
        <v>#VALUE!</v>
      </c>
      <c r="AF19" s="160" t="e">
        <f ca="1">Ануїтетна_графік_Авто!K20</f>
        <v>#VALUE!</v>
      </c>
      <c r="AH19" s="160" t="e">
        <f ca="1">Ануїтетна_графік_Авто!M20</f>
        <v>#VALUE!</v>
      </c>
      <c r="AJ19" s="160">
        <f t="shared" ca="1" si="0"/>
        <v>46538</v>
      </c>
      <c r="AK19" s="160">
        <v>16</v>
      </c>
      <c r="AM19" s="160" t="e">
        <f ca="1">Ануїтетна_графік_Авто!J20</f>
        <v>#VALUE!</v>
      </c>
      <c r="AO19" s="160" t="e">
        <f ca="1">Ануїтетна_графік_Авто!K20</f>
        <v>#VALUE!</v>
      </c>
      <c r="AQ19" s="160" t="e">
        <f ca="1">Ануїтетна_графік_Авто!M20</f>
        <v>#VALUE!</v>
      </c>
      <c r="AS19" s="160" t="e">
        <f t="shared" ca="1" si="1"/>
        <v>#VALUE!</v>
      </c>
    </row>
    <row r="20" spans="2:45" x14ac:dyDescent="0.3">
      <c r="Q20" s="160">
        <f>IF($G$13="Так",ROUND((G4-G6+N15)*G12/100,2),IF($G$16="Ні",ROUND((G4-G6)*G12/100,2),0))</f>
        <v>0</v>
      </c>
      <c r="T20" s="160" t="s">
        <v>265</v>
      </c>
      <c r="U20" s="160">
        <f ca="1">DAY(U19)</f>
        <v>21</v>
      </c>
      <c r="W20" s="160">
        <v>2</v>
      </c>
      <c r="X20" s="160">
        <v>28</v>
      </c>
      <c r="AA20" s="160">
        <f ca="1">Ануїтетна_графік_Авто!G21</f>
        <v>46559</v>
      </c>
      <c r="AB20" s="160">
        <v>17</v>
      </c>
      <c r="AD20" s="160" t="e">
        <f ca="1">Ануїтетна_графік_Авто!J21</f>
        <v>#VALUE!</v>
      </c>
      <c r="AF20" s="160" t="e">
        <f ca="1">Ануїтетна_графік_Авто!K21</f>
        <v>#VALUE!</v>
      </c>
      <c r="AH20" s="160" t="e">
        <f ca="1">Ануїтетна_графік_Авто!M21</f>
        <v>#VALUE!</v>
      </c>
      <c r="AJ20" s="160">
        <f t="shared" ca="1" si="0"/>
        <v>46568</v>
      </c>
      <c r="AK20" s="160">
        <v>17</v>
      </c>
      <c r="AM20" s="160" t="e">
        <f ca="1">Ануїтетна_графік_Авто!J21</f>
        <v>#VALUE!</v>
      </c>
      <c r="AO20" s="160" t="e">
        <f ca="1">Ануїтетна_графік_Авто!K21</f>
        <v>#VALUE!</v>
      </c>
      <c r="AQ20" s="160" t="e">
        <f ca="1">Ануїтетна_графік_Авто!M21</f>
        <v>#VALUE!</v>
      </c>
      <c r="AS20" s="160" t="e">
        <f t="shared" ca="1" si="1"/>
        <v>#VALUE!</v>
      </c>
    </row>
    <row r="21" spans="2:45" x14ac:dyDescent="0.3">
      <c r="B21" s="160" t="s">
        <v>297</v>
      </c>
      <c r="T21" s="160" t="s">
        <v>237</v>
      </c>
      <c r="U21" s="160">
        <f ca="1">MONTH(U19)</f>
        <v>1</v>
      </c>
      <c r="W21" s="160">
        <v>3</v>
      </c>
      <c r="X21" s="160">
        <v>31</v>
      </c>
      <c r="AA21" s="160">
        <f ca="1">Ануїтетна_графік_Авто!G22</f>
        <v>46589</v>
      </c>
      <c r="AB21" s="160">
        <v>18</v>
      </c>
      <c r="AD21" s="160" t="e">
        <f ca="1">Ануїтетна_графік_Авто!J22</f>
        <v>#VALUE!</v>
      </c>
      <c r="AF21" s="160" t="e">
        <f ca="1">Ануїтетна_графік_Авто!K22</f>
        <v>#VALUE!</v>
      </c>
      <c r="AH21" s="160" t="e">
        <f ca="1">Ануїтетна_графік_Авто!M22</f>
        <v>#VALUE!</v>
      </c>
      <c r="AJ21" s="160">
        <f t="shared" ca="1" si="0"/>
        <v>46599</v>
      </c>
      <c r="AK21" s="160">
        <v>18</v>
      </c>
      <c r="AM21" s="160" t="e">
        <f ca="1">Ануїтетна_графік_Авто!J22</f>
        <v>#VALUE!</v>
      </c>
      <c r="AO21" s="160" t="e">
        <f ca="1">Ануїтетна_графік_Авто!K22</f>
        <v>#VALUE!</v>
      </c>
      <c r="AQ21" s="160" t="e">
        <f ca="1">Ануїтетна_графік_Авто!M22</f>
        <v>#VALUE!</v>
      </c>
      <c r="AS21" s="160" t="e">
        <f t="shared" ca="1" si="1"/>
        <v>#VALUE!</v>
      </c>
    </row>
    <row r="22" spans="2:45" x14ac:dyDescent="0.3">
      <c r="B22" s="160" t="s">
        <v>231</v>
      </c>
      <c r="T22" s="160" t="s">
        <v>269</v>
      </c>
      <c r="U22" s="160">
        <v>1200000</v>
      </c>
      <c r="W22" s="160">
        <v>4</v>
      </c>
      <c r="X22" s="160">
        <v>30</v>
      </c>
      <c r="AA22" s="160">
        <f ca="1">Ануїтетна_графік_Авто!G23</f>
        <v>46620</v>
      </c>
      <c r="AB22" s="160">
        <v>19</v>
      </c>
      <c r="AD22" s="160" t="e">
        <f ca="1">Ануїтетна_графік_Авто!J23</f>
        <v>#VALUE!</v>
      </c>
      <c r="AF22" s="160" t="e">
        <f ca="1">Ануїтетна_графік_Авто!K23</f>
        <v>#VALUE!</v>
      </c>
      <c r="AH22" s="160" t="e">
        <f ca="1">Ануїтетна_графік_Авто!M23</f>
        <v>#VALUE!</v>
      </c>
      <c r="AJ22" s="160">
        <f t="shared" ca="1" si="0"/>
        <v>46630</v>
      </c>
      <c r="AK22" s="160">
        <v>19</v>
      </c>
      <c r="AM22" s="160" t="e">
        <f ca="1">Ануїтетна_графік_Авто!J23</f>
        <v>#VALUE!</v>
      </c>
      <c r="AO22" s="160" t="e">
        <f ca="1">Ануїтетна_графік_Авто!K23</f>
        <v>#VALUE!</v>
      </c>
      <c r="AQ22" s="160" t="e">
        <f ca="1">Ануїтетна_графік_Авто!M23</f>
        <v>#VALUE!</v>
      </c>
      <c r="AS22" s="160" t="e">
        <f t="shared" ca="1" si="1"/>
        <v>#VALUE!</v>
      </c>
    </row>
    <row r="23" spans="2:45" x14ac:dyDescent="0.3">
      <c r="B23" s="160" t="s">
        <v>237</v>
      </c>
      <c r="D23" s="160" t="s">
        <v>233</v>
      </c>
      <c r="E23" s="160" t="s">
        <v>234</v>
      </c>
      <c r="F23" s="160" t="s">
        <v>235</v>
      </c>
      <c r="H23" s="160" t="s">
        <v>298</v>
      </c>
      <c r="T23" s="160" t="s">
        <v>271</v>
      </c>
      <c r="U23" s="160">
        <f>'Калькулятор '!V23</f>
        <v>40</v>
      </c>
      <c r="W23" s="160">
        <v>5</v>
      </c>
      <c r="X23" s="160">
        <v>31</v>
      </c>
      <c r="AA23" s="160">
        <f ca="1">Ануїтетна_графік_Авто!G24</f>
        <v>46651</v>
      </c>
      <c r="AB23" s="160">
        <v>20</v>
      </c>
      <c r="AD23" s="160" t="e">
        <f ca="1">Ануїтетна_графік_Авто!J24</f>
        <v>#VALUE!</v>
      </c>
      <c r="AF23" s="160" t="e">
        <f ca="1">Ануїтетна_графік_Авто!K24</f>
        <v>#VALUE!</v>
      </c>
      <c r="AH23" s="160" t="e">
        <f ca="1">Ануїтетна_графік_Авто!M24</f>
        <v>#VALUE!</v>
      </c>
      <c r="AJ23" s="160">
        <f t="shared" ca="1" si="0"/>
        <v>46660</v>
      </c>
      <c r="AK23" s="160">
        <v>20</v>
      </c>
      <c r="AM23" s="160" t="e">
        <f ca="1">Ануїтетна_графік_Авто!J24</f>
        <v>#VALUE!</v>
      </c>
      <c r="AO23" s="160" t="e">
        <f ca="1">Ануїтетна_графік_Авто!K24</f>
        <v>#VALUE!</v>
      </c>
      <c r="AQ23" s="160" t="e">
        <f ca="1">Ануїтетна_графік_Авто!M24</f>
        <v>#VALUE!</v>
      </c>
      <c r="AS23" s="160" t="e">
        <f t="shared" ca="1" si="1"/>
        <v>#VALUE!</v>
      </c>
    </row>
    <row r="24" spans="2:45" x14ac:dyDescent="0.3">
      <c r="P24" s="160">
        <f ca="1">TODAY()</f>
        <v>46043</v>
      </c>
      <c r="Q24" s="160" t="s">
        <v>264</v>
      </c>
      <c r="R24" s="160" t="s">
        <v>272</v>
      </c>
      <c r="AA24" s="160">
        <f ca="1">Ануїтетна_графік_Авто!G25</f>
        <v>46681</v>
      </c>
      <c r="AB24" s="160">
        <v>21</v>
      </c>
      <c r="AD24" s="160" t="e">
        <f ca="1">Ануїтетна_графік_Авто!J25</f>
        <v>#VALUE!</v>
      </c>
      <c r="AF24" s="160" t="e">
        <f ca="1">Ануїтетна_графік_Авто!K25</f>
        <v>#VALUE!</v>
      </c>
      <c r="AH24" s="160" t="e">
        <f ca="1">Ануїтетна_графік_Авто!M25</f>
        <v>#VALUE!</v>
      </c>
      <c r="AJ24" s="160">
        <f t="shared" ca="1" si="0"/>
        <v>46691</v>
      </c>
      <c r="AK24" s="160">
        <v>21</v>
      </c>
      <c r="AM24" s="160" t="e">
        <f ca="1">Ануїтетна_графік_Авто!J25</f>
        <v>#VALUE!</v>
      </c>
      <c r="AO24" s="160" t="e">
        <f ca="1">Ануїтетна_графік_Авто!K25</f>
        <v>#VALUE!</v>
      </c>
      <c r="AQ24" s="160" t="e">
        <f ca="1">Ануїтетна_графік_Авто!M25</f>
        <v>#VALUE!</v>
      </c>
      <c r="AS24" s="160" t="e">
        <f t="shared" ca="1" si="1"/>
        <v>#VALUE!</v>
      </c>
    </row>
    <row r="25" spans="2:45" x14ac:dyDescent="0.3">
      <c r="B25" s="160">
        <v>1</v>
      </c>
      <c r="D25" s="160">
        <v>15820.916666666668</v>
      </c>
      <c r="F25" s="160">
        <v>7830.083333333333</v>
      </c>
      <c r="H25" s="160">
        <v>23651</v>
      </c>
      <c r="K25" s="160" t="s">
        <v>299</v>
      </c>
      <c r="N25" s="160">
        <f>IF($S$4=3,$G$6,IF($S$4=2,$G$4*$G$6,IF($S$4=1,0)))</f>
        <v>300000</v>
      </c>
      <c r="P25" s="160">
        <f ca="1">IF(P24&lt;Q26,R25,IF(P24&lt;Q27,R26,R27))</f>
        <v>2589</v>
      </c>
      <c r="Q25" s="160">
        <v>44562</v>
      </c>
      <c r="R25" s="160">
        <v>2589</v>
      </c>
      <c r="W25" s="160">
        <v>6</v>
      </c>
      <c r="X25" s="160">
        <v>30</v>
      </c>
      <c r="AA25" s="160">
        <f ca="1">Ануїтетна_графік_Авто!G26</f>
        <v>46712</v>
      </c>
      <c r="AB25" s="160">
        <v>22</v>
      </c>
      <c r="AD25" s="160" t="e">
        <f ca="1">Ануїтетна_графік_Авто!J26</f>
        <v>#VALUE!</v>
      </c>
      <c r="AF25" s="160" t="e">
        <f ca="1">Ануїтетна_графік_Авто!K26</f>
        <v>#VALUE!</v>
      </c>
      <c r="AH25" s="160" t="e">
        <f ca="1">Ануїтетна_графік_Авто!M26</f>
        <v>#VALUE!</v>
      </c>
      <c r="AJ25" s="160">
        <f t="shared" ca="1" si="0"/>
        <v>46721</v>
      </c>
      <c r="AK25" s="160">
        <v>22</v>
      </c>
      <c r="AM25" s="160" t="e">
        <f ca="1">Ануїтетна_графік_Авто!J26</f>
        <v>#VALUE!</v>
      </c>
      <c r="AO25" s="160" t="e">
        <f ca="1">Ануїтетна_графік_Авто!K26</f>
        <v>#VALUE!</v>
      </c>
      <c r="AQ25" s="160" t="e">
        <f ca="1">Ануїтетна_графік_Авто!M26</f>
        <v>#VALUE!</v>
      </c>
      <c r="AS25" s="160" t="e">
        <f t="shared" ca="1" si="1"/>
        <v>#VALUE!</v>
      </c>
    </row>
    <row r="26" spans="2:45" x14ac:dyDescent="0.3">
      <c r="B26" s="160">
        <v>2</v>
      </c>
      <c r="D26" s="160">
        <v>16244.761422916667</v>
      </c>
      <c r="F26" s="160">
        <v>7406.2385770833334</v>
      </c>
      <c r="H26" s="160">
        <v>23651</v>
      </c>
      <c r="Q26" s="160">
        <v>44562</v>
      </c>
      <c r="R26" s="160">
        <v>2589</v>
      </c>
      <c r="W26" s="160">
        <v>7</v>
      </c>
      <c r="X26" s="160">
        <v>31</v>
      </c>
      <c r="AA26" s="160">
        <f ca="1">Ануїтетна_графік_Авто!G27</f>
        <v>46742</v>
      </c>
      <c r="AB26" s="160">
        <f>AB25+1</f>
        <v>23</v>
      </c>
      <c r="AD26" s="160" t="e">
        <f ca="1">Ануїтетна_графік_Авто!J27</f>
        <v>#VALUE!</v>
      </c>
      <c r="AF26" s="160" t="e">
        <f ca="1">Ануїтетна_графік_Авто!K27</f>
        <v>#VALUE!</v>
      </c>
      <c r="AH26" s="160" t="e">
        <f ca="1">Ануїтетна_графік_Авто!M27</f>
        <v>#VALUE!</v>
      </c>
      <c r="AJ26" s="160">
        <f t="shared" ca="1" si="0"/>
        <v>46752</v>
      </c>
      <c r="AK26" s="160">
        <v>23</v>
      </c>
      <c r="AM26" s="160" t="e">
        <f ca="1">Ануїтетна_графік_Авто!J27</f>
        <v>#VALUE!</v>
      </c>
      <c r="AO26" s="160" t="e">
        <f ca="1">Ануїтетна_графік_Авто!K27</f>
        <v>#VALUE!</v>
      </c>
      <c r="AQ26" s="160" t="e">
        <f ca="1">Ануїтетна_графік_Авто!M27</f>
        <v>#VALUE!</v>
      </c>
      <c r="AS26" s="160" t="e">
        <f t="shared" ca="1" si="1"/>
        <v>#VALUE!</v>
      </c>
    </row>
    <row r="27" spans="2:45" x14ac:dyDescent="0.3">
      <c r="B27" s="160">
        <v>3</v>
      </c>
      <c r="D27" s="160">
        <v>16179.597997497063</v>
      </c>
      <c r="F27" s="160">
        <v>7471.4020025029367</v>
      </c>
      <c r="H27" s="160">
        <v>23651</v>
      </c>
      <c r="Q27" s="160">
        <v>44562</v>
      </c>
      <c r="R27" s="160">
        <v>2589</v>
      </c>
      <c r="W27" s="160">
        <v>8</v>
      </c>
      <c r="X27" s="160">
        <v>31</v>
      </c>
      <c r="AA27" s="160">
        <f ca="1">Ануїтетна_графік_Авто!G28</f>
        <v>46773</v>
      </c>
      <c r="AB27" s="160">
        <f>AB26+1</f>
        <v>24</v>
      </c>
      <c r="AD27" s="160" t="e">
        <f ca="1">Ануїтетна_графік_Авто!J28</f>
        <v>#VALUE!</v>
      </c>
      <c r="AF27" s="160" t="e">
        <f ca="1">Ануїтетна_графік_Авто!K28</f>
        <v>#VALUE!</v>
      </c>
      <c r="AH27" s="160" t="e">
        <f ca="1">Ануїтетна_графік_Авто!M28</f>
        <v>#VALUE!</v>
      </c>
      <c r="AJ27" s="160">
        <f t="shared" ca="1" si="0"/>
        <v>46783</v>
      </c>
      <c r="AK27" s="160">
        <v>24</v>
      </c>
      <c r="AM27" s="160" t="e">
        <f ca="1">Ануїтетна_графік_Авто!J28</f>
        <v>#VALUE!</v>
      </c>
      <c r="AO27" s="160" t="e">
        <f ca="1">Ануїтетна_графік_Авто!K28</f>
        <v>#VALUE!</v>
      </c>
      <c r="AQ27" s="160" t="e">
        <f ca="1">Ануїтетна_графік_Авто!M28</f>
        <v>#VALUE!</v>
      </c>
      <c r="AS27" s="160" t="e">
        <f t="shared" ca="1" si="1"/>
        <v>#VALUE!</v>
      </c>
    </row>
    <row r="28" spans="2:45" x14ac:dyDescent="0.3">
      <c r="B28" s="160">
        <v>4</v>
      </c>
      <c r="D28" s="160">
        <v>16360.580284097399</v>
      </c>
      <c r="F28" s="160">
        <v>7290.4197159026007</v>
      </c>
      <c r="H28" s="160">
        <v>23651</v>
      </c>
      <c r="K28" s="160" t="s">
        <v>300</v>
      </c>
      <c r="N28" s="160">
        <f>G10</f>
        <v>22275</v>
      </c>
      <c r="W28" s="160">
        <v>9</v>
      </c>
      <c r="X28" s="160">
        <v>30</v>
      </c>
      <c r="AA28" s="160">
        <f ca="1">Ануїтетна_графік_Авто!G29</f>
        <v>46804</v>
      </c>
      <c r="AB28" s="160">
        <f t="shared" ref="AB28:AB78" si="2">AB27+1</f>
        <v>25</v>
      </c>
      <c r="AD28" s="160" t="e">
        <f ca="1">Ануїтетна_графік_Авто!J29</f>
        <v>#VALUE!</v>
      </c>
      <c r="AF28" s="160" t="e">
        <f ca="1">Ануїтетна_графік_Авто!K29</f>
        <v>#VALUE!</v>
      </c>
      <c r="AH28" s="160" t="e">
        <f ca="1">Ануїтетна_графік_Авто!M29</f>
        <v>#VALUE!</v>
      </c>
      <c r="AJ28" s="160">
        <f t="shared" ca="1" si="0"/>
        <v>46812</v>
      </c>
      <c r="AK28" s="160">
        <v>25</v>
      </c>
      <c r="AM28" s="160" t="e">
        <f ca="1">Ануїтетна_графік_Авто!J29</f>
        <v>#VALUE!</v>
      </c>
      <c r="AO28" s="160" t="e">
        <f ca="1">Ануїтетна_графік_Авто!K29</f>
        <v>#VALUE!</v>
      </c>
      <c r="AQ28" s="160" t="e">
        <f ca="1">Ануїтетна_графік_Авто!M29</f>
        <v>#VALUE!</v>
      </c>
      <c r="AS28" s="160" t="e">
        <f t="shared" ca="1" si="1"/>
        <v>#VALUE!</v>
      </c>
    </row>
    <row r="29" spans="2:45" x14ac:dyDescent="0.3">
      <c r="B29" s="160">
        <v>5</v>
      </c>
      <c r="D29" s="160">
        <v>16772.858395217998</v>
      </c>
      <c r="F29" s="160">
        <v>6878.1416047820012</v>
      </c>
      <c r="H29" s="160">
        <v>23651</v>
      </c>
      <c r="W29" s="160">
        <v>10</v>
      </c>
      <c r="X29" s="160">
        <v>31</v>
      </c>
      <c r="AA29" s="160">
        <f ca="1">Ануїтетна_графік_Авто!G30</f>
        <v>46833</v>
      </c>
      <c r="AB29" s="160">
        <f t="shared" si="2"/>
        <v>26</v>
      </c>
      <c r="AD29" s="160" t="e">
        <f ca="1">Ануїтетна_графік_Авто!J30</f>
        <v>#VALUE!</v>
      </c>
      <c r="AF29" s="160" t="e">
        <f ca="1">Ануїтетна_графік_Авто!K30</f>
        <v>#VALUE!</v>
      </c>
      <c r="AH29" s="160" t="e">
        <f ca="1">Ануїтетна_графік_Авто!M30</f>
        <v>#VALUE!</v>
      </c>
      <c r="AJ29" s="160">
        <f t="shared" ca="1" si="0"/>
        <v>46843</v>
      </c>
      <c r="AK29" s="160">
        <v>26</v>
      </c>
      <c r="AM29" s="160" t="e">
        <f ca="1">Ануїтетна_графік_Авто!J30</f>
        <v>#VALUE!</v>
      </c>
      <c r="AO29" s="160" t="e">
        <f ca="1">Ануїтетна_графік_Авто!K30</f>
        <v>#VALUE!</v>
      </c>
      <c r="AQ29" s="160" t="e">
        <f ca="1">Ануїтетна_графік_Авто!M30</f>
        <v>#VALUE!</v>
      </c>
      <c r="AS29" s="160" t="e">
        <f t="shared" ca="1" si="1"/>
        <v>#VALUE!</v>
      </c>
    </row>
    <row r="30" spans="2:45" x14ac:dyDescent="0.3">
      <c r="B30" s="160">
        <v>6</v>
      </c>
      <c r="D30" s="160">
        <v>16731.20540692444</v>
      </c>
      <c r="F30" s="160">
        <v>6919.7945930755586</v>
      </c>
      <c r="H30" s="160">
        <v>23651</v>
      </c>
      <c r="W30" s="160">
        <v>11</v>
      </c>
      <c r="X30" s="160">
        <v>30</v>
      </c>
      <c r="AA30" s="160">
        <f ca="1">Ануїтетна_графік_Авто!G31</f>
        <v>46864</v>
      </c>
      <c r="AB30" s="160">
        <f t="shared" si="2"/>
        <v>27</v>
      </c>
      <c r="AD30" s="160" t="e">
        <f ca="1">Ануїтетна_графік_Авто!J31</f>
        <v>#VALUE!</v>
      </c>
      <c r="AF30" s="160" t="e">
        <f ca="1">Ануїтетна_графік_Авто!K31</f>
        <v>#VALUE!</v>
      </c>
      <c r="AH30" s="160" t="e">
        <f ca="1">Ануїтетна_графік_Авто!M31</f>
        <v>#VALUE!</v>
      </c>
      <c r="AJ30" s="160">
        <f t="shared" ca="1" si="0"/>
        <v>46873</v>
      </c>
      <c r="AK30" s="160">
        <v>27</v>
      </c>
      <c r="AM30" s="160" t="e">
        <f ca="1">Ануїтетна_графік_Авто!J31</f>
        <v>#VALUE!</v>
      </c>
      <c r="AO30" s="160" t="e">
        <f ca="1">Ануїтетна_графік_Авто!K31</f>
        <v>#VALUE!</v>
      </c>
      <c r="AQ30" s="160" t="e">
        <f ca="1">Ануїтетна_графік_Авто!M31</f>
        <v>#VALUE!</v>
      </c>
      <c r="AS30" s="160" t="e">
        <f t="shared" ca="1" si="1"/>
        <v>#VALUE!</v>
      </c>
    </row>
    <row r="31" spans="2:45" x14ac:dyDescent="0.3">
      <c r="B31" s="160">
        <v>7</v>
      </c>
      <c r="D31" s="160">
        <v>17135.539885876191</v>
      </c>
      <c r="F31" s="160">
        <v>6515.460114123809</v>
      </c>
      <c r="H31" s="160">
        <v>23651</v>
      </c>
      <c r="K31" s="160" t="s">
        <v>301</v>
      </c>
      <c r="N31" s="160">
        <f>N15</f>
        <v>131580</v>
      </c>
      <c r="W31" s="160">
        <v>12</v>
      </c>
      <c r="X31" s="160">
        <v>31</v>
      </c>
      <c r="AA31" s="160">
        <f ca="1">Ануїтетна_графік_Авто!G32</f>
        <v>46894</v>
      </c>
      <c r="AB31" s="160">
        <f t="shared" si="2"/>
        <v>28</v>
      </c>
      <c r="AD31" s="160" t="e">
        <f ca="1">Ануїтетна_графік_Авто!J32</f>
        <v>#VALUE!</v>
      </c>
      <c r="AF31" s="160" t="e">
        <f ca="1">Ануїтетна_графік_Авто!K32</f>
        <v>#VALUE!</v>
      </c>
      <c r="AH31" s="160" t="e">
        <f ca="1">Ануїтетна_графік_Авто!M32</f>
        <v>#VALUE!</v>
      </c>
      <c r="AJ31" s="160">
        <f t="shared" ca="1" si="0"/>
        <v>46904</v>
      </c>
      <c r="AK31" s="160">
        <v>28</v>
      </c>
      <c r="AM31" s="160" t="e">
        <f ca="1">Ануїтетна_графік_Авто!J32</f>
        <v>#VALUE!</v>
      </c>
      <c r="AO31" s="160" t="e">
        <f ca="1">Ануїтетна_графік_Авто!K32</f>
        <v>#VALUE!</v>
      </c>
      <c r="AQ31" s="160" t="e">
        <f ca="1">Ануїтетна_графік_Авто!M32</f>
        <v>#VALUE!</v>
      </c>
      <c r="AS31" s="160" t="e">
        <f t="shared" ca="1" si="1"/>
        <v>#VALUE!</v>
      </c>
    </row>
    <row r="32" spans="2:45" x14ac:dyDescent="0.3">
      <c r="B32" s="160">
        <v>8</v>
      </c>
      <c r="D32" s="160">
        <v>17110.033175312161</v>
      </c>
      <c r="F32" s="160">
        <v>6540.9668246878382</v>
      </c>
      <c r="H32" s="160">
        <v>23651</v>
      </c>
      <c r="P32" s="160" t="s">
        <v>249</v>
      </c>
      <c r="AA32" s="160">
        <f ca="1">Ануїтетна_графік_Авто!G33</f>
        <v>46925</v>
      </c>
      <c r="AB32" s="160">
        <f t="shared" si="2"/>
        <v>29</v>
      </c>
      <c r="AD32" s="160" t="e">
        <f ca="1">Ануїтетна_графік_Авто!J33</f>
        <v>#VALUE!</v>
      </c>
      <c r="AF32" s="160" t="e">
        <f ca="1">Ануїтетна_графік_Авто!K33</f>
        <v>#VALUE!</v>
      </c>
      <c r="AH32" s="160" t="e">
        <f ca="1">Ануїтетна_графік_Авто!M33</f>
        <v>#VALUE!</v>
      </c>
      <c r="AJ32" s="160">
        <f t="shared" ca="1" si="0"/>
        <v>46934</v>
      </c>
      <c r="AK32" s="160">
        <v>29</v>
      </c>
      <c r="AM32" s="160" t="e">
        <f ca="1">Ануїтетна_графік_Авто!J33</f>
        <v>#VALUE!</v>
      </c>
      <c r="AO32" s="160" t="e">
        <f ca="1">Ануїтетна_графік_Авто!K33</f>
        <v>#VALUE!</v>
      </c>
      <c r="AQ32" s="160" t="e">
        <f ca="1">Ануїтетна_графік_Авто!M33</f>
        <v>#VALUE!</v>
      </c>
      <c r="AS32" s="160" t="e">
        <f t="shared" ca="1" si="1"/>
        <v>#VALUE!</v>
      </c>
    </row>
    <row r="33" spans="2:45" x14ac:dyDescent="0.3">
      <c r="B33" s="160">
        <v>9</v>
      </c>
      <c r="D33" s="160">
        <v>17301.423154739008</v>
      </c>
      <c r="F33" s="160">
        <v>6349.5768452609918</v>
      </c>
      <c r="H33" s="160">
        <v>23651</v>
      </c>
      <c r="P33" s="160" t="s">
        <v>243</v>
      </c>
      <c r="AA33" s="160">
        <f ca="1">Ануїтетна_графік_Авто!G34</f>
        <v>46955</v>
      </c>
      <c r="AB33" s="160">
        <f t="shared" si="2"/>
        <v>30</v>
      </c>
      <c r="AD33" s="160" t="e">
        <f ca="1">Ануїтетна_графік_Авто!J34</f>
        <v>#VALUE!</v>
      </c>
      <c r="AF33" s="160" t="e">
        <f ca="1">Ануїтетна_графік_Авто!K34</f>
        <v>#VALUE!</v>
      </c>
      <c r="AH33" s="160" t="e">
        <f ca="1">Ануїтетна_графік_Авто!M34</f>
        <v>#VALUE!</v>
      </c>
      <c r="AJ33" s="160">
        <f t="shared" ca="1" si="0"/>
        <v>46965</v>
      </c>
      <c r="AK33" s="160">
        <v>30</v>
      </c>
      <c r="AM33" s="160" t="e">
        <f ca="1">Ануїтетна_графік_Авто!J34</f>
        <v>#VALUE!</v>
      </c>
      <c r="AO33" s="160" t="e">
        <f ca="1">Ануїтетна_графік_Авто!K34</f>
        <v>#VALUE!</v>
      </c>
      <c r="AQ33" s="160" t="e">
        <f ca="1">Ануїтетна_графік_Авто!M34</f>
        <v>#VALUE!</v>
      </c>
      <c r="AS33" s="160" t="e">
        <f t="shared" ca="1" si="1"/>
        <v>#VALUE!</v>
      </c>
    </row>
    <row r="34" spans="2:45" x14ac:dyDescent="0.3">
      <c r="B34" s="160">
        <v>10</v>
      </c>
      <c r="D34" s="160">
        <v>18090.700378586032</v>
      </c>
      <c r="F34" s="160">
        <v>5560.2996214139675</v>
      </c>
      <c r="H34" s="160">
        <v>23651</v>
      </c>
      <c r="K34" s="160" t="s">
        <v>302</v>
      </c>
      <c r="N34" s="160">
        <f>IF(N12=0,0,IF(G13="Ні",N12,IF(G13="Так","НВ включено у суму кредиту",0)))</f>
        <v>0</v>
      </c>
      <c r="AA34" s="160">
        <f ca="1">Ануїтетна_графік_Авто!G35</f>
        <v>46986</v>
      </c>
      <c r="AB34" s="160">
        <f t="shared" si="2"/>
        <v>31</v>
      </c>
      <c r="AD34" s="160" t="e">
        <f ca="1">Ануїтетна_графік_Авто!J35</f>
        <v>#VALUE!</v>
      </c>
      <c r="AF34" s="160" t="e">
        <f ca="1">Ануїтетна_графік_Авто!K35</f>
        <v>#VALUE!</v>
      </c>
      <c r="AH34" s="160" t="e">
        <f ca="1">Ануїтетна_графік_Авто!M35</f>
        <v>#VALUE!</v>
      </c>
      <c r="AJ34" s="160">
        <f t="shared" ca="1" si="0"/>
        <v>46996</v>
      </c>
      <c r="AK34" s="160">
        <v>31</v>
      </c>
      <c r="AM34" s="160" t="e">
        <f ca="1">Ануїтетна_графік_Авто!J35</f>
        <v>#VALUE!</v>
      </c>
      <c r="AO34" s="160" t="e">
        <f ca="1">Ануїтетна_графік_Авто!K35</f>
        <v>#VALUE!</v>
      </c>
      <c r="AQ34" s="160" t="e">
        <f ca="1">Ануїтетна_графік_Авто!M35</f>
        <v>#VALUE!</v>
      </c>
      <c r="AS34" s="160" t="e">
        <f t="shared" ca="1" si="1"/>
        <v>#VALUE!</v>
      </c>
    </row>
    <row r="35" spans="2:45" x14ac:dyDescent="0.3">
      <c r="B35" s="160">
        <v>11</v>
      </c>
      <c r="D35" s="160">
        <v>17697.313549895527</v>
      </c>
      <c r="F35" s="160">
        <v>5953.6864501044738</v>
      </c>
      <c r="H35" s="160">
        <v>23651</v>
      </c>
      <c r="AA35" s="160">
        <f ca="1">Ануїтетна_графік_Авто!G36</f>
        <v>47017</v>
      </c>
      <c r="AB35" s="160">
        <f t="shared" si="2"/>
        <v>32</v>
      </c>
      <c r="AD35" s="160" t="e">
        <f ca="1">Ануїтетна_графік_Авто!J36</f>
        <v>#VALUE!</v>
      </c>
      <c r="AF35" s="160" t="e">
        <f ca="1">Ануїтетна_графік_Авто!K36</f>
        <v>#VALUE!</v>
      </c>
      <c r="AH35" s="160" t="e">
        <f ca="1">Ануїтетна_графік_Авто!M36</f>
        <v>#VALUE!</v>
      </c>
      <c r="AJ35" s="160">
        <f t="shared" ca="1" si="0"/>
        <v>47026</v>
      </c>
      <c r="AK35" s="160">
        <v>32</v>
      </c>
      <c r="AM35" s="160" t="e">
        <f ca="1">Ануїтетна_графік_Авто!J36</f>
        <v>#VALUE!</v>
      </c>
      <c r="AO35" s="160" t="e">
        <f ca="1">Ануїтетна_графік_Авто!K36</f>
        <v>#VALUE!</v>
      </c>
      <c r="AQ35" s="160" t="e">
        <f ca="1">Ануїтетна_графік_Авто!M36</f>
        <v>#VALUE!</v>
      </c>
      <c r="AS35" s="160" t="e">
        <f t="shared" ca="1" si="1"/>
        <v>#VALUE!</v>
      </c>
    </row>
    <row r="36" spans="2:45" x14ac:dyDescent="0.3">
      <c r="B36" s="160">
        <v>12</v>
      </c>
      <c r="D36" s="160">
        <v>18080.941370689419</v>
      </c>
      <c r="F36" s="160">
        <v>5570.0586293105807</v>
      </c>
      <c r="H36" s="160">
        <v>23651</v>
      </c>
      <c r="AA36" s="160">
        <f ca="1">Ануїтетна_графік_Авто!G37</f>
        <v>47047</v>
      </c>
      <c r="AB36" s="160">
        <f t="shared" si="2"/>
        <v>33</v>
      </c>
      <c r="AD36" s="160" t="e">
        <f ca="1">Ануїтетна_графік_Авто!J37</f>
        <v>#VALUE!</v>
      </c>
      <c r="AF36" s="160" t="e">
        <f ca="1">Ануїтетна_графік_Авто!K37</f>
        <v>#VALUE!</v>
      </c>
      <c r="AH36" s="160" t="e">
        <f ca="1">Ануїтетна_графік_Авто!M37</f>
        <v>#VALUE!</v>
      </c>
      <c r="AJ36" s="160">
        <f t="shared" ca="1" si="0"/>
        <v>47057</v>
      </c>
      <c r="AK36" s="160">
        <v>33</v>
      </c>
      <c r="AM36" s="160" t="e">
        <f ca="1">Ануїтетна_графік_Авто!J37</f>
        <v>#VALUE!</v>
      </c>
      <c r="AO36" s="160" t="e">
        <f ca="1">Ануїтетна_графік_Авто!K37</f>
        <v>#VALUE!</v>
      </c>
      <c r="AQ36" s="160" t="e">
        <f ca="1">Ануїтетна_графік_Авто!M37</f>
        <v>#VALUE!</v>
      </c>
      <c r="AS36" s="160" t="e">
        <f t="shared" ca="1" si="1"/>
        <v>#VALUE!</v>
      </c>
    </row>
    <row r="37" spans="2:45" x14ac:dyDescent="0.3">
      <c r="B37" s="160">
        <v>13</v>
      </c>
      <c r="D37" s="160">
        <v>18097.523146394706</v>
      </c>
      <c r="F37" s="160">
        <v>5553.4768536052961</v>
      </c>
      <c r="H37" s="160">
        <v>23651</v>
      </c>
      <c r="K37" s="160" t="s">
        <v>303</v>
      </c>
      <c r="N37" s="160">
        <v>0</v>
      </c>
      <c r="AA37" s="160">
        <f ca="1">Ануїтетна_графік_Авто!G38</f>
        <v>47078</v>
      </c>
      <c r="AB37" s="160">
        <f t="shared" si="2"/>
        <v>34</v>
      </c>
      <c r="AD37" s="160" t="e">
        <f ca="1">Ануїтетна_графік_Авто!J38</f>
        <v>#VALUE!</v>
      </c>
      <c r="AF37" s="160" t="e">
        <f ca="1">Ануїтетна_графік_Авто!K38</f>
        <v>#VALUE!</v>
      </c>
      <c r="AH37" s="160" t="e">
        <f ca="1">Ануїтетна_графік_Авто!M38</f>
        <v>#VALUE!</v>
      </c>
      <c r="AJ37" s="160">
        <f t="shared" ca="1" si="0"/>
        <v>47087</v>
      </c>
      <c r="AK37" s="160">
        <v>34</v>
      </c>
      <c r="AM37" s="160" t="e">
        <f ca="1">Ануїтетна_графік_Авто!J38</f>
        <v>#VALUE!</v>
      </c>
      <c r="AO37" s="160" t="e">
        <f ca="1">Ануїтетна_графік_Авто!K38</f>
        <v>#VALUE!</v>
      </c>
      <c r="AQ37" s="160" t="e">
        <f ca="1">Ануїтетна_графік_Авто!M38</f>
        <v>#VALUE!</v>
      </c>
      <c r="AS37" s="160" t="e">
        <f t="shared" ca="1" si="1"/>
        <v>#VALUE!</v>
      </c>
    </row>
    <row r="38" spans="2:45" x14ac:dyDescent="0.3">
      <c r="B38" s="160">
        <v>14</v>
      </c>
      <c r="D38" s="160">
        <v>18472.573249086854</v>
      </c>
      <c r="F38" s="160">
        <v>5178.426750913145</v>
      </c>
      <c r="H38" s="160">
        <v>23651</v>
      </c>
      <c r="AA38" s="160">
        <f ca="1">Ануїтетна_графік_Авто!G39</f>
        <v>47108</v>
      </c>
      <c r="AB38" s="160">
        <f t="shared" si="2"/>
        <v>35</v>
      </c>
      <c r="AD38" s="160" t="e">
        <f ca="1">Ануїтетна_графік_Авто!J39</f>
        <v>#VALUE!</v>
      </c>
      <c r="AF38" s="160" t="e">
        <f ca="1">Ануїтетна_графік_Авто!K39</f>
        <v>#VALUE!</v>
      </c>
      <c r="AH38" s="160" t="e">
        <f ca="1">Ануїтетна_графік_Авто!M39</f>
        <v>#VALUE!</v>
      </c>
      <c r="AJ38" s="160">
        <f t="shared" ca="1" si="0"/>
        <v>47118</v>
      </c>
      <c r="AK38" s="160">
        <v>35</v>
      </c>
      <c r="AM38" s="160" t="e">
        <f ca="1">Ануїтетна_графік_Авто!J39</f>
        <v>#VALUE!</v>
      </c>
      <c r="AO38" s="160" t="e">
        <f ca="1">Ануїтетна_графік_Авто!K39</f>
        <v>#VALUE!</v>
      </c>
      <c r="AQ38" s="160" t="e">
        <f ca="1">Ануїтетна_графік_Авто!M39</f>
        <v>#VALUE!</v>
      </c>
      <c r="AS38" s="160" t="e">
        <f t="shared" ca="1" si="1"/>
        <v>#VALUE!</v>
      </c>
    </row>
    <row r="39" spans="2:45" x14ac:dyDescent="0.3">
      <c r="B39" s="160">
        <v>15</v>
      </c>
      <c r="D39" s="160">
        <v>18506.590149658492</v>
      </c>
      <c r="F39" s="160">
        <v>5144.4098503415062</v>
      </c>
      <c r="H39" s="160">
        <v>23651</v>
      </c>
      <c r="S39" s="160" t="s">
        <v>216</v>
      </c>
      <c r="T39" s="160">
        <f>G4/6*5</f>
        <v>2125000</v>
      </c>
      <c r="AA39" s="160">
        <f ca="1">Ануїтетна_графік_Авто!G40</f>
        <v>47139</v>
      </c>
      <c r="AB39" s="160">
        <f t="shared" si="2"/>
        <v>36</v>
      </c>
      <c r="AD39" s="160" t="e">
        <f ca="1">Ануїтетна_графік_Авто!J40</f>
        <v>#VALUE!</v>
      </c>
      <c r="AF39" s="160" t="e">
        <f ca="1">Ануїтетна_графік_Авто!K40</f>
        <v>#VALUE!</v>
      </c>
      <c r="AH39" s="160" t="e">
        <f ca="1">Ануїтетна_графік_Авто!M40</f>
        <v>#VALUE!</v>
      </c>
      <c r="AJ39" s="160">
        <f t="shared" ca="1" si="0"/>
        <v>47149</v>
      </c>
      <c r="AK39" s="160">
        <v>36</v>
      </c>
      <c r="AM39" s="160" t="e">
        <f ca="1">Ануїтетна_графік_Авто!J40</f>
        <v>#VALUE!</v>
      </c>
      <c r="AO39" s="160" t="e">
        <f ca="1">Ануїтетна_графік_Авто!K40</f>
        <v>#VALUE!</v>
      </c>
      <c r="AQ39" s="160" t="e">
        <f ca="1">Ануїтетна_графік_Авто!M40</f>
        <v>#VALUE!</v>
      </c>
      <c r="AS39" s="160" t="e">
        <f t="shared" ca="1" si="1"/>
        <v>#VALUE!</v>
      </c>
    </row>
    <row r="40" spans="2:45" x14ac:dyDescent="0.3">
      <c r="B40" s="160">
        <v>16</v>
      </c>
      <c r="D40" s="160">
        <v>18713.601782640882</v>
      </c>
      <c r="F40" s="160">
        <v>4937.3982173591176</v>
      </c>
      <c r="H40" s="160">
        <v>23651</v>
      </c>
      <c r="K40" s="160" t="s">
        <v>280</v>
      </c>
      <c r="P40" s="160" t="str">
        <f>CONCATENATE(P42,P43,P44,P45,P46)</f>
        <v/>
      </c>
      <c r="Q40" s="160">
        <f>SUM(Q42:Q46)</f>
        <v>13.99</v>
      </c>
      <c r="Z40" s="160">
        <f>SUM(Z42:Z46)</f>
        <v>0</v>
      </c>
      <c r="AA40" s="160">
        <f ca="1">Ануїтетна_графік_Авто!G41</f>
        <v>47170</v>
      </c>
      <c r="AB40" s="160">
        <f t="shared" si="2"/>
        <v>37</v>
      </c>
      <c r="AD40" s="160" t="e">
        <f ca="1">Ануїтетна_графік_Авто!J41</f>
        <v>#VALUE!</v>
      </c>
      <c r="AF40" s="160" t="e">
        <f ca="1">Ануїтетна_графік_Авто!K41</f>
        <v>#VALUE!</v>
      </c>
      <c r="AH40" s="160" t="e">
        <f ca="1">Ануїтетна_графік_Авто!M41</f>
        <v>#VALUE!</v>
      </c>
      <c r="AJ40" s="160">
        <f t="shared" ca="1" si="0"/>
        <v>47177</v>
      </c>
      <c r="AK40" s="160">
        <v>37</v>
      </c>
      <c r="AM40" s="160" t="e">
        <f ca="1">Ануїтетна_графік_Авто!J41</f>
        <v>#VALUE!</v>
      </c>
      <c r="AO40" s="160" t="e">
        <f ca="1">Ануїтетна_графік_Авто!K41</f>
        <v>#VALUE!</v>
      </c>
      <c r="AQ40" s="160" t="e">
        <f ca="1">Ануїтетна_графік_Авто!M41</f>
        <v>#VALUE!</v>
      </c>
      <c r="AS40" s="160" t="e">
        <f t="shared" ca="1" si="1"/>
        <v>#VALUE!</v>
      </c>
    </row>
    <row r="41" spans="2:45" x14ac:dyDescent="0.3">
      <c r="B41" s="160">
        <v>17</v>
      </c>
      <c r="D41" s="160">
        <v>19075.447432175359</v>
      </c>
      <c r="F41" s="160">
        <v>4575.5525678246395</v>
      </c>
      <c r="H41" s="160">
        <v>23651</v>
      </c>
      <c r="P41" s="160" t="s">
        <v>304</v>
      </c>
      <c r="Q41" s="160" t="s">
        <v>275</v>
      </c>
      <c r="R41" s="160" t="s">
        <v>305</v>
      </c>
      <c r="S41" s="160">
        <v>12</v>
      </c>
      <c r="T41" s="160">
        <v>24</v>
      </c>
      <c r="U41" s="160">
        <v>36</v>
      </c>
      <c r="V41" s="160">
        <v>48</v>
      </c>
      <c r="W41" s="160">
        <v>60</v>
      </c>
      <c r="X41" s="160">
        <v>72</v>
      </c>
      <c r="Y41" s="160">
        <v>84</v>
      </c>
      <c r="Z41" s="160" t="s">
        <v>306</v>
      </c>
      <c r="AA41" s="160">
        <f ca="1">Ануїтетна_графік_Авто!G42</f>
        <v>47198</v>
      </c>
      <c r="AB41" s="160">
        <f t="shared" si="2"/>
        <v>38</v>
      </c>
      <c r="AD41" s="160" t="e">
        <f ca="1">Ануїтетна_графік_Авто!J42</f>
        <v>#VALUE!</v>
      </c>
      <c r="AF41" s="160" t="e">
        <f ca="1">Ануїтетна_графік_Авто!K42</f>
        <v>#VALUE!</v>
      </c>
      <c r="AH41" s="160" t="e">
        <f ca="1">Ануїтетна_графік_Авто!M42</f>
        <v>#VALUE!</v>
      </c>
      <c r="AJ41" s="160">
        <f t="shared" ca="1" si="0"/>
        <v>47208</v>
      </c>
      <c r="AK41" s="160">
        <v>38</v>
      </c>
      <c r="AM41" s="160" t="e">
        <f ca="1">Ануїтетна_графік_Авто!J42</f>
        <v>#VALUE!</v>
      </c>
      <c r="AO41" s="160" t="e">
        <f ca="1">Ануїтетна_графік_Авто!K42</f>
        <v>#VALUE!</v>
      </c>
      <c r="AQ41" s="160" t="e">
        <f ca="1">Ануїтетна_графік_Авто!M42</f>
        <v>#VALUE!</v>
      </c>
      <c r="AS41" s="160" t="e">
        <f t="shared" ca="1" si="1"/>
        <v>#VALUE!</v>
      </c>
    </row>
    <row r="42" spans="2:45" x14ac:dyDescent="0.3">
      <c r="B42" s="160">
        <v>18</v>
      </c>
      <c r="D42" s="160">
        <v>19136.303788982947</v>
      </c>
      <c r="F42" s="160">
        <v>4514.6962110170525</v>
      </c>
      <c r="H42" s="160">
        <v>23651</v>
      </c>
      <c r="P42" s="160" t="str">
        <f>IF($G$2=R42,IF(AND($G$2=R42,$U$23&lt;20),"Авансовий платіж має бути не менше 20%",IF(AND($G$2=R42,$U$23&gt;29.999),"Авансовий платіж має бути менше 30%","Авансовий платіж достатній")),"")</f>
        <v/>
      </c>
      <c r="Q42" s="160">
        <f>IF(AND(U23&lt;50,$N$8=$S$41),S42,
IF(AND(U23&lt;50,$N$8=$T$41),T42,
IF(AND(U23&lt;50,$N$8=$U$41),U42,
IF(AND(U23&lt;50,$N$8=$V$41),V42,
IF(AND(U23&lt;50,$N$8=$W$41),W42,
IF(AND(U23&lt;50,$N$8=$X$41),X42,
IF(AND(U23&lt;50,$N$8=$Y$41),Y42,0)))))))</f>
        <v>13.99</v>
      </c>
      <c r="R42" s="160" t="s">
        <v>307</v>
      </c>
      <c r="S42" s="160">
        <v>9.99</v>
      </c>
      <c r="T42" s="160">
        <v>11.99</v>
      </c>
      <c r="U42" s="160">
        <v>12.99</v>
      </c>
      <c r="V42" s="160">
        <v>13.99</v>
      </c>
      <c r="W42" s="160">
        <v>13.99</v>
      </c>
      <c r="X42" s="160">
        <v>13.99</v>
      </c>
      <c r="Y42" s="160">
        <v>13.99</v>
      </c>
      <c r="Z42" s="160">
        <f>IF(AND($G$2=R42,OR($N$8=$S$41,$N$8=$T$41,$N$8=$U$41)),0.0299,
IF(AND($G$2=R42,OR($N$8=$X$41,$N$8=$W$41,$N$8=$V$41,$N$8=$Y$41)),0,0))</f>
        <v>0</v>
      </c>
      <c r="AA42" s="160">
        <f ca="1">Ануїтетна_графік_Авто!G43</f>
        <v>47229</v>
      </c>
      <c r="AB42" s="160">
        <f t="shared" si="2"/>
        <v>39</v>
      </c>
      <c r="AD42" s="160" t="e">
        <f ca="1">Ануїтетна_графік_Авто!J43</f>
        <v>#VALUE!</v>
      </c>
      <c r="AF42" s="160" t="e">
        <f ca="1">Ануїтетна_графік_Авто!K43</f>
        <v>#VALUE!</v>
      </c>
      <c r="AH42" s="160" t="e">
        <f ca="1">Ануїтетна_графік_Авто!M43</f>
        <v>#VALUE!</v>
      </c>
      <c r="AJ42" s="160">
        <f t="shared" ca="1" si="0"/>
        <v>47238</v>
      </c>
      <c r="AK42" s="160">
        <v>39</v>
      </c>
      <c r="AM42" s="160" t="e">
        <f ca="1">Ануїтетна_графік_Авто!J43</f>
        <v>#VALUE!</v>
      </c>
      <c r="AO42" s="160" t="e">
        <f ca="1">Ануїтетна_графік_Авто!K43</f>
        <v>#VALUE!</v>
      </c>
      <c r="AQ42" s="160" t="e">
        <f ca="1">Ануїтетна_графік_Авто!M43</f>
        <v>#VALUE!</v>
      </c>
      <c r="AS42" s="160" t="e">
        <f t="shared" ca="1" si="1"/>
        <v>#VALUE!</v>
      </c>
    </row>
    <row r="43" spans="2:45" x14ac:dyDescent="0.3">
      <c r="B43" s="160">
        <v>19</v>
      </c>
      <c r="D43" s="160">
        <v>19489.0896391444</v>
      </c>
      <c r="F43" s="160">
        <v>4161.9103608556006</v>
      </c>
      <c r="H43" s="160">
        <v>23651</v>
      </c>
      <c r="K43" s="160" t="s">
        <v>308</v>
      </c>
      <c r="P43" s="160" t="str">
        <f>IF($G$2=R43,IF(AND($G$2=R43,$U$23&lt;30),"Авансовий платіж має бути не менше 30%",IF(AND($G$2=R43,$U$23&gt;39.999),"Авансовий платіж має бути менше 40%","Авансовий платіж достатній")),"")</f>
        <v/>
      </c>
      <c r="Q43" s="160">
        <f>IF(AND(U23&gt;=50,$N$8=$S$41),S43,
IF(AND(U23&gt;=50,$N$8=$T$41),T43,
IF(AND(U23&gt;=50,$N$8=$U$41),U43,
IF(AND(U23&gt;=50,$N$8=$V$41),V43,
IF(AND(U23&gt;=50,$N$8=$W$41),W43,
IF(AND(U23&gt;=50,$N$8=$X$41),X43,
IF(AND(U23&gt;=50,$N$8=$Y$41),Y43,0)))))))</f>
        <v>0</v>
      </c>
      <c r="R43" s="160" t="s">
        <v>309</v>
      </c>
      <c r="S43" s="160">
        <v>7.99</v>
      </c>
      <c r="T43" s="160">
        <v>9.99</v>
      </c>
      <c r="U43" s="160">
        <v>10.99</v>
      </c>
      <c r="V43" s="160">
        <v>12.49</v>
      </c>
      <c r="W43" s="160">
        <v>12.99</v>
      </c>
      <c r="X43" s="160">
        <v>12.99</v>
      </c>
      <c r="Y43" s="160">
        <v>12.99</v>
      </c>
      <c r="Z43" s="160">
        <f>IF(AND($G$2=R43,OR($N$8=$S$41,$N$8=$T$41,$N$8=$U$41)),0.0299,
IF(AND($G$2=R43,OR($N$8=$X$41,$N$8=$W$41,$N$8=$V$41,$N$8=$Y$41)),0,0))</f>
        <v>0</v>
      </c>
      <c r="AA43" s="160">
        <f ca="1">Ануїтетна_графік_Авто!G44</f>
        <v>47259</v>
      </c>
      <c r="AB43" s="160">
        <f>AB42+1</f>
        <v>40</v>
      </c>
      <c r="AD43" s="160" t="e">
        <f ca="1">Ануїтетна_графік_Авто!J44</f>
        <v>#VALUE!</v>
      </c>
      <c r="AF43" s="160" t="e">
        <f ca="1">Ануїтетна_графік_Авто!K44</f>
        <v>#VALUE!</v>
      </c>
      <c r="AH43" s="160" t="e">
        <f ca="1">Ануїтетна_графік_Авто!M44</f>
        <v>#VALUE!</v>
      </c>
      <c r="AJ43" s="160">
        <f t="shared" ca="1" si="0"/>
        <v>47269</v>
      </c>
      <c r="AK43" s="160">
        <v>40</v>
      </c>
      <c r="AM43" s="160" t="e">
        <f ca="1">Ануїтетна_графік_Авто!J44</f>
        <v>#VALUE!</v>
      </c>
      <c r="AO43" s="160" t="e">
        <f ca="1">Ануїтетна_графік_Авто!K44</f>
        <v>#VALUE!</v>
      </c>
      <c r="AQ43" s="160" t="e">
        <f ca="1">Ануїтетна_графік_Авто!M44</f>
        <v>#VALUE!</v>
      </c>
      <c r="AS43" s="160" t="e">
        <f t="shared" ca="1" si="1"/>
        <v>#VALUE!</v>
      </c>
    </row>
    <row r="44" spans="2:45" x14ac:dyDescent="0.3">
      <c r="B44" s="160">
        <v>20</v>
      </c>
      <c r="D44" s="160">
        <v>19568.361002304409</v>
      </c>
      <c r="F44" s="160">
        <v>4082.6389976955902</v>
      </c>
      <c r="H44" s="160">
        <v>23651</v>
      </c>
      <c r="AA44" s="160">
        <f ca="1">Ануїтетна_графік_Авто!G45</f>
        <v>47290</v>
      </c>
      <c r="AB44" s="160">
        <f t="shared" si="2"/>
        <v>41</v>
      </c>
      <c r="AD44" s="160" t="e">
        <f ca="1">Ануїтетна_графік_Авто!J45</f>
        <v>#VALUE!</v>
      </c>
      <c r="AF44" s="160" t="e">
        <f ca="1">Ануїтетна_графік_Авто!K45</f>
        <v>#VALUE!</v>
      </c>
      <c r="AH44" s="160" t="e">
        <f ca="1">Ануїтетна_графік_Авто!M45</f>
        <v>#VALUE!</v>
      </c>
      <c r="AJ44" s="160">
        <f t="shared" ca="1" si="0"/>
        <v>47299</v>
      </c>
      <c r="AK44" s="160">
        <v>41</v>
      </c>
      <c r="AM44" s="160" t="e">
        <f ca="1">Ануїтетна_графік_Авто!J45</f>
        <v>#VALUE!</v>
      </c>
      <c r="AO44" s="160" t="e">
        <f ca="1">Ануїтетна_графік_Авто!K45</f>
        <v>#VALUE!</v>
      </c>
      <c r="AQ44" s="160" t="e">
        <f ca="1">Ануїтетна_графік_Авто!M45</f>
        <v>#VALUE!</v>
      </c>
      <c r="AS44" s="160" t="e">
        <f t="shared" ca="1" si="1"/>
        <v>#VALUE!</v>
      </c>
    </row>
    <row r="45" spans="2:45" x14ac:dyDescent="0.3">
      <c r="B45" s="160">
        <v>21</v>
      </c>
      <c r="D45" s="160">
        <v>19787.249427082686</v>
      </c>
      <c r="F45" s="160">
        <v>3863.7505729173145</v>
      </c>
      <c r="H45" s="160">
        <v>23651</v>
      </c>
      <c r="AA45" s="160">
        <f ca="1">Ануїтетна_графік_Авто!G46</f>
        <v>47320</v>
      </c>
      <c r="AB45" s="160">
        <f t="shared" si="2"/>
        <v>42</v>
      </c>
      <c r="AD45" s="160" t="e">
        <f ca="1">Ануїтетна_графік_Авто!J46</f>
        <v>#VALUE!</v>
      </c>
      <c r="AF45" s="160" t="e">
        <f ca="1">Ануїтетна_графік_Авто!K46</f>
        <v>#VALUE!</v>
      </c>
      <c r="AH45" s="160" t="e">
        <f ca="1">Ануїтетна_графік_Авто!M46</f>
        <v>#VALUE!</v>
      </c>
      <c r="AJ45" s="160">
        <f t="shared" ca="1" si="0"/>
        <v>47330</v>
      </c>
      <c r="AK45" s="160">
        <v>42</v>
      </c>
      <c r="AM45" s="160" t="e">
        <f ca="1">Ануїтетна_графік_Авто!J46</f>
        <v>#VALUE!</v>
      </c>
      <c r="AO45" s="160" t="e">
        <f ca="1">Ануїтетна_графік_Авто!K46</f>
        <v>#VALUE!</v>
      </c>
      <c r="AQ45" s="160" t="e">
        <f ca="1">Ануїтетна_графік_Авто!M46</f>
        <v>#VALUE!</v>
      </c>
      <c r="AS45" s="160" t="e">
        <f t="shared" ca="1" si="1"/>
        <v>#VALUE!</v>
      </c>
    </row>
    <row r="46" spans="2:45" x14ac:dyDescent="0.3">
      <c r="B46" s="160">
        <v>22</v>
      </c>
      <c r="D46" s="160">
        <v>20361.077949560502</v>
      </c>
      <c r="F46" s="160">
        <v>3289.9220504394975</v>
      </c>
      <c r="H46" s="160">
        <v>23651</v>
      </c>
      <c r="K46" s="160" t="s">
        <v>310</v>
      </c>
      <c r="N46" s="160">
        <f>'Калькулятор (реал. ставка)'!C18</f>
        <v>106250</v>
      </c>
      <c r="AA46" s="160">
        <f ca="1">Ануїтетна_графік_Авто!G47</f>
        <v>47351</v>
      </c>
      <c r="AB46" s="160">
        <f t="shared" si="2"/>
        <v>43</v>
      </c>
      <c r="AD46" s="160" t="e">
        <f ca="1">Ануїтетна_графік_Авто!J47</f>
        <v>#VALUE!</v>
      </c>
      <c r="AF46" s="160" t="e">
        <f ca="1">Ануїтетна_графік_Авто!K47</f>
        <v>#VALUE!</v>
      </c>
      <c r="AH46" s="160" t="e">
        <f ca="1">Ануїтетна_графік_Авто!M47</f>
        <v>#VALUE!</v>
      </c>
      <c r="AJ46" s="160">
        <f t="shared" ca="1" si="0"/>
        <v>47361</v>
      </c>
      <c r="AK46" s="160">
        <v>43</v>
      </c>
      <c r="AM46" s="160" t="e">
        <f ca="1">Ануїтетна_графік_Авто!J47</f>
        <v>#VALUE!</v>
      </c>
      <c r="AO46" s="160" t="e">
        <f ca="1">Ануїтетна_графік_Авто!K47</f>
        <v>#VALUE!</v>
      </c>
      <c r="AQ46" s="160" t="e">
        <f ca="1">Ануїтетна_графік_Авто!M47</f>
        <v>#VALUE!</v>
      </c>
      <c r="AS46" s="160" t="e">
        <f t="shared" ca="1" si="1"/>
        <v>#VALUE!</v>
      </c>
    </row>
    <row r="47" spans="2:45" x14ac:dyDescent="0.3">
      <c r="B47" s="160">
        <v>23</v>
      </c>
      <c r="D47" s="160">
        <v>20236.341925729921</v>
      </c>
      <c r="F47" s="160">
        <v>3414.6580742700799</v>
      </c>
      <c r="H47" s="160">
        <v>23651</v>
      </c>
      <c r="AA47" s="160">
        <f ca="1">Ануїтетна_графік_Авто!G48</f>
        <v>47382</v>
      </c>
      <c r="AB47" s="160">
        <f t="shared" si="2"/>
        <v>44</v>
      </c>
      <c r="AD47" s="160" t="e">
        <f ca="1">Ануїтетна_графік_Авто!J48</f>
        <v>#VALUE!</v>
      </c>
      <c r="AF47" s="160" t="e">
        <f ca="1">Ануїтетна_графік_Авто!K48</f>
        <v>#VALUE!</v>
      </c>
      <c r="AH47" s="160" t="e">
        <f ca="1">Ануїтетна_графік_Авто!M48</f>
        <v>#VALUE!</v>
      </c>
      <c r="AJ47" s="160">
        <f t="shared" ca="1" si="0"/>
        <v>47391</v>
      </c>
      <c r="AK47" s="160">
        <v>44</v>
      </c>
      <c r="AM47" s="160" t="e">
        <f ca="1">Ануїтетна_графік_Авто!J48</f>
        <v>#VALUE!</v>
      </c>
      <c r="AO47" s="160" t="e">
        <f ca="1">Ануїтетна_графік_Авто!K48</f>
        <v>#VALUE!</v>
      </c>
      <c r="AQ47" s="160" t="e">
        <f ca="1">Ануїтетна_графік_Авто!M48</f>
        <v>#VALUE!</v>
      </c>
      <c r="AS47" s="160" t="e">
        <f t="shared" ca="1" si="1"/>
        <v>#VALUE!</v>
      </c>
    </row>
    <row r="48" spans="2:45" x14ac:dyDescent="0.3">
      <c r="B48" s="160">
        <v>24</v>
      </c>
      <c r="D48" s="160">
        <v>20565.550587536272</v>
      </c>
      <c r="F48" s="160">
        <v>3085.4494124637276</v>
      </c>
      <c r="H48" s="160">
        <v>23651</v>
      </c>
      <c r="AA48" s="160">
        <f ca="1">Ануїтетна_графік_Авто!G49</f>
        <v>47412</v>
      </c>
      <c r="AB48" s="160">
        <f t="shared" si="2"/>
        <v>45</v>
      </c>
      <c r="AD48" s="160" t="e">
        <f ca="1">Ануїтетна_графік_Авто!J49</f>
        <v>#VALUE!</v>
      </c>
      <c r="AF48" s="160" t="e">
        <f ca="1">Ануїтетна_графік_Авто!K49</f>
        <v>#VALUE!</v>
      </c>
      <c r="AH48" s="160" t="e">
        <f ca="1">Ануїтетна_графік_Авто!M49</f>
        <v>#VALUE!</v>
      </c>
      <c r="AJ48" s="160">
        <f t="shared" ca="1" si="0"/>
        <v>47422</v>
      </c>
      <c r="AK48" s="160">
        <v>45</v>
      </c>
      <c r="AM48" s="160" t="e">
        <f ca="1">Ануїтетна_графік_Авто!J49</f>
        <v>#VALUE!</v>
      </c>
      <c r="AO48" s="160" t="e">
        <f ca="1">Ануїтетна_графік_Авто!K49</f>
        <v>#VALUE!</v>
      </c>
      <c r="AQ48" s="160" t="e">
        <f ca="1">Ануїтетна_графік_Авто!M49</f>
        <v>#VALUE!</v>
      </c>
      <c r="AS48" s="160" t="e">
        <f t="shared" ca="1" si="1"/>
        <v>#VALUE!</v>
      </c>
    </row>
    <row r="49" spans="2:45" x14ac:dyDescent="0.3">
      <c r="B49" s="160">
        <v>25</v>
      </c>
      <c r="D49" s="160">
        <v>20692.745095067898</v>
      </c>
      <c r="F49" s="160">
        <v>2958.2549049321033</v>
      </c>
      <c r="H49" s="160">
        <v>23651</v>
      </c>
      <c r="K49" s="160" t="s">
        <v>282</v>
      </c>
      <c r="N49" s="160">
        <f>N25+N37+N40+N43+N46+IF(N31=N15,N31,0)+IF(N34=N12,N34,0)+IF(N28=G10,N28,0)</f>
        <v>560105</v>
      </c>
      <c r="AA49" s="160">
        <f ca="1">Ануїтетна_графік_Авто!G50</f>
        <v>47443</v>
      </c>
      <c r="AB49" s="160">
        <f t="shared" si="2"/>
        <v>46</v>
      </c>
      <c r="AD49" s="160" t="e">
        <f ca="1">Ануїтетна_графік_Авто!J50</f>
        <v>#VALUE!</v>
      </c>
      <c r="AF49" s="160" t="e">
        <f ca="1">Ануїтетна_графік_Авто!K50</f>
        <v>#VALUE!</v>
      </c>
      <c r="AH49" s="160" t="e">
        <f ca="1">Ануїтетна_графік_Авто!M50</f>
        <v>#VALUE!</v>
      </c>
      <c r="AJ49" s="160">
        <f t="shared" ca="1" si="0"/>
        <v>47452</v>
      </c>
      <c r="AK49" s="160">
        <v>46</v>
      </c>
      <c r="AM49" s="160" t="e">
        <f ca="1">Ануїтетна_графік_Авто!J50</f>
        <v>#VALUE!</v>
      </c>
      <c r="AO49" s="160" t="e">
        <f ca="1">Ануїтетна_графік_Авто!K50</f>
        <v>#VALUE!</v>
      </c>
      <c r="AQ49" s="160" t="e">
        <f ca="1">Ануїтетна_графік_Авто!M50</f>
        <v>#VALUE!</v>
      </c>
      <c r="AS49" s="160" t="e">
        <f t="shared" ca="1" si="1"/>
        <v>#VALUE!</v>
      </c>
    </row>
    <row r="50" spans="2:45" x14ac:dyDescent="0.3">
      <c r="B50" s="160">
        <v>26</v>
      </c>
      <c r="D50" s="160">
        <v>21012.17163830046</v>
      </c>
      <c r="F50" s="160">
        <v>2638.8283616995386</v>
      </c>
      <c r="H50" s="160">
        <v>23651</v>
      </c>
      <c r="AA50" s="160">
        <f ca="1">Ануїтетна_графік_Авто!G51</f>
        <v>47473</v>
      </c>
      <c r="AB50" s="160">
        <f t="shared" si="2"/>
        <v>47</v>
      </c>
      <c r="AD50" s="160" t="e">
        <f ca="1">Ануїтетна_графік_Авто!J51</f>
        <v>#VALUE!</v>
      </c>
      <c r="AF50" s="160" t="e">
        <f ca="1">Ануїтетна_графік_Авто!K51</f>
        <v>#VALUE!</v>
      </c>
      <c r="AH50" s="160" t="e">
        <f ca="1">Ануїтетна_графік_Авто!M51</f>
        <v>#VALUE!</v>
      </c>
      <c r="AJ50" s="160">
        <f t="shared" ca="1" si="0"/>
        <v>47483</v>
      </c>
      <c r="AK50" s="160">
        <v>47</v>
      </c>
      <c r="AM50" s="160" t="e">
        <f ca="1">Ануїтетна_графік_Авто!J51</f>
        <v>#VALUE!</v>
      </c>
      <c r="AO50" s="160" t="e">
        <f ca="1">Ануїтетна_графік_Авто!K51</f>
        <v>#VALUE!</v>
      </c>
      <c r="AQ50" s="160" t="e">
        <f ca="1">Ануїтетна_графік_Авто!M51</f>
        <v>#VALUE!</v>
      </c>
      <c r="AS50" s="160" t="e">
        <f t="shared" ca="1" si="1"/>
        <v>#VALUE!</v>
      </c>
    </row>
    <row r="51" spans="2:45" x14ac:dyDescent="0.3">
      <c r="B51" s="160">
        <v>27</v>
      </c>
      <c r="D51" s="160">
        <v>21159.249342827898</v>
      </c>
      <c r="F51" s="160">
        <v>2491.7506571721005</v>
      </c>
      <c r="H51" s="160">
        <v>23651</v>
      </c>
      <c r="AA51" s="160">
        <f ca="1">Ануїтетна_графік_Авто!G52</f>
        <v>47504</v>
      </c>
      <c r="AB51" s="160">
        <f t="shared" si="2"/>
        <v>48</v>
      </c>
      <c r="AD51" s="160" t="e">
        <f ca="1">Ануїтетна_графік_Авто!J52</f>
        <v>#VALUE!</v>
      </c>
      <c r="AF51" s="160" t="e">
        <f ca="1">Ануїтетна_графік_Авто!K52</f>
        <v>#VALUE!</v>
      </c>
      <c r="AH51" s="160" t="e">
        <f ca="1">Ануїтетна_графік_Авто!M52</f>
        <v>#VALUE!</v>
      </c>
      <c r="AJ51" s="160">
        <f t="shared" ca="1" si="0"/>
        <v>47514</v>
      </c>
      <c r="AK51" s="160">
        <v>48</v>
      </c>
      <c r="AM51" s="160" t="e">
        <f ca="1">Ануїтетна_графік_Авто!J52</f>
        <v>#VALUE!</v>
      </c>
      <c r="AO51" s="160" t="e">
        <f ca="1">Ануїтетна_графік_Авто!K52</f>
        <v>#VALUE!</v>
      </c>
      <c r="AQ51" s="160" t="e">
        <f ca="1">Ануїтетна_графік_Авто!M52</f>
        <v>#VALUE!</v>
      </c>
      <c r="AS51" s="160" t="e">
        <f t="shared" ca="1" si="1"/>
        <v>#VALUE!</v>
      </c>
    </row>
    <row r="52" spans="2:45" x14ac:dyDescent="0.3">
      <c r="B52" s="160">
        <v>28</v>
      </c>
      <c r="D52" s="160">
        <v>21395.933179435215</v>
      </c>
      <c r="F52" s="160">
        <v>2255.0668205647848</v>
      </c>
      <c r="H52" s="160">
        <v>23651</v>
      </c>
      <c r="AA52" s="160">
        <f ca="1">Ануїтетна_графік_Авто!G53</f>
        <v>47535</v>
      </c>
      <c r="AB52" s="160">
        <f t="shared" si="2"/>
        <v>49</v>
      </c>
      <c r="AD52" s="160" t="e">
        <f ca="1">Ануїтетна_графік_Авто!J53</f>
        <v>#VALUE!</v>
      </c>
      <c r="AF52" s="160" t="e">
        <f ca="1">Ануїтетна_графік_Авто!K53</f>
        <v>#VALUE!</v>
      </c>
      <c r="AH52" s="160" t="e">
        <f ca="1">Ануїтетна_графік_Авто!M53</f>
        <v>#VALUE!</v>
      </c>
      <c r="AJ52" s="160">
        <f t="shared" ca="1" si="0"/>
        <v>47542</v>
      </c>
      <c r="AK52" s="160">
        <v>49</v>
      </c>
      <c r="AM52" s="160" t="e">
        <f ca="1">Ануїтетна_графік_Авто!J53</f>
        <v>#VALUE!</v>
      </c>
      <c r="AO52" s="160" t="e">
        <f ca="1">Ануїтетна_графік_Авто!K53</f>
        <v>#VALUE!</v>
      </c>
      <c r="AQ52" s="160" t="e">
        <f ca="1">Ануїтетна_графік_Авто!M53</f>
        <v>#VALUE!</v>
      </c>
      <c r="AS52" s="160" t="e">
        <f t="shared" ca="1" si="1"/>
        <v>#VALUE!</v>
      </c>
    </row>
    <row r="53" spans="2:45" x14ac:dyDescent="0.3">
      <c r="B53" s="160">
        <v>29</v>
      </c>
      <c r="D53" s="160">
        <v>21700.288247088563</v>
      </c>
      <c r="F53" s="160">
        <v>1950.711752911438</v>
      </c>
      <c r="H53" s="160">
        <v>23651</v>
      </c>
      <c r="AA53" s="160">
        <f ca="1">Ануїтетна_графік_Авто!G54</f>
        <v>47563</v>
      </c>
      <c r="AB53" s="160">
        <f t="shared" si="2"/>
        <v>50</v>
      </c>
      <c r="AD53" s="160" t="e">
        <f ca="1">Ануїтетна_графік_Авто!J54</f>
        <v>#VALUE!</v>
      </c>
      <c r="AF53" s="160" t="e">
        <f ca="1">Ануїтетна_графік_Авто!K54</f>
        <v>#VALUE!</v>
      </c>
      <c r="AH53" s="160" t="e">
        <f ca="1">Ануїтетна_графік_Авто!M54</f>
        <v>#VALUE!</v>
      </c>
      <c r="AJ53" s="160">
        <f t="shared" ca="1" si="0"/>
        <v>47573</v>
      </c>
      <c r="AK53" s="160">
        <v>50</v>
      </c>
      <c r="AM53" s="160" t="e">
        <f ca="1">Ануїтетна_графік_Авто!J54</f>
        <v>#VALUE!</v>
      </c>
      <c r="AO53" s="160" t="e">
        <f ca="1">Ануїтетна_графік_Авто!K54</f>
        <v>#VALUE!</v>
      </c>
      <c r="AQ53" s="160" t="e">
        <f ca="1">Ануїтетна_графік_Авто!M54</f>
        <v>#VALUE!</v>
      </c>
      <c r="AS53" s="160" t="e">
        <f t="shared" ca="1" si="1"/>
        <v>#VALUE!</v>
      </c>
    </row>
    <row r="54" spans="2:45" x14ac:dyDescent="0.3">
      <c r="B54" s="160">
        <v>30</v>
      </c>
      <c r="D54" s="160">
        <v>21878.000329608738</v>
      </c>
      <c r="F54" s="160">
        <v>1772.9996703912611</v>
      </c>
      <c r="H54" s="160">
        <v>23651</v>
      </c>
      <c r="AA54" s="160">
        <f ca="1">Ануїтетна_графік_Авто!G55</f>
        <v>47594</v>
      </c>
      <c r="AB54" s="160">
        <f t="shared" si="2"/>
        <v>51</v>
      </c>
      <c r="AD54" s="160" t="e">
        <f ca="1">Ануїтетна_графік_Авто!J55</f>
        <v>#VALUE!</v>
      </c>
      <c r="AF54" s="160" t="e">
        <f ca="1">Ануїтетна_графік_Авто!K55</f>
        <v>#VALUE!</v>
      </c>
      <c r="AH54" s="160" t="e">
        <f ca="1">Ануїтетна_графік_Авто!M55</f>
        <v>#VALUE!</v>
      </c>
      <c r="AJ54" s="160">
        <f t="shared" ca="1" si="0"/>
        <v>47603</v>
      </c>
      <c r="AK54" s="160">
        <v>51</v>
      </c>
      <c r="AM54" s="160" t="e">
        <f ca="1">Ануїтетна_графік_Авто!J55</f>
        <v>#VALUE!</v>
      </c>
      <c r="AO54" s="160" t="e">
        <f ca="1">Ануїтетна_графік_Авто!K55</f>
        <v>#VALUE!</v>
      </c>
      <c r="AQ54" s="160" t="e">
        <f ca="1">Ануїтетна_графік_Авто!M55</f>
        <v>#VALUE!</v>
      </c>
      <c r="AS54" s="160" t="e">
        <f t="shared" ca="1" si="1"/>
        <v>#VALUE!</v>
      </c>
    </row>
    <row r="55" spans="2:45" x14ac:dyDescent="0.3">
      <c r="B55" s="160">
        <v>31</v>
      </c>
      <c r="D55" s="160">
        <v>22172.023220931311</v>
      </c>
      <c r="F55" s="160">
        <v>1478.9767790686897</v>
      </c>
      <c r="H55" s="160">
        <v>23651</v>
      </c>
      <c r="AA55" s="160">
        <f ca="1">Ануїтетна_графік_Авто!G56</f>
        <v>47624</v>
      </c>
      <c r="AB55" s="160">
        <f t="shared" si="2"/>
        <v>52</v>
      </c>
      <c r="AD55" s="160" t="e">
        <f ca="1">Ануїтетна_графік_Авто!J56</f>
        <v>#VALUE!</v>
      </c>
      <c r="AF55" s="160" t="e">
        <f ca="1">Ануїтетна_графік_Авто!K56</f>
        <v>#VALUE!</v>
      </c>
      <c r="AH55" s="160" t="e">
        <f ca="1">Ануїтетна_графік_Авто!M56</f>
        <v>#VALUE!</v>
      </c>
      <c r="AJ55" s="160">
        <f t="shared" ca="1" si="0"/>
        <v>47634</v>
      </c>
      <c r="AK55" s="160">
        <v>52</v>
      </c>
      <c r="AM55" s="160" t="e">
        <f ca="1">Ануїтетна_графік_Авто!J56</f>
        <v>#VALUE!</v>
      </c>
      <c r="AO55" s="160" t="e">
        <f ca="1">Ануїтетна_графік_Авто!K56</f>
        <v>#VALUE!</v>
      </c>
      <c r="AQ55" s="160" t="e">
        <f ca="1">Ануїтетна_графік_Авто!M56</f>
        <v>#VALUE!</v>
      </c>
      <c r="AS55" s="160" t="e">
        <f t="shared" ca="1" si="1"/>
        <v>#VALUE!</v>
      </c>
    </row>
    <row r="56" spans="2:45" x14ac:dyDescent="0.3">
      <c r="B56" s="160">
        <v>32</v>
      </c>
      <c r="D56" s="160">
        <v>22370.736551374488</v>
      </c>
      <c r="F56" s="160">
        <v>1280.2634486255117</v>
      </c>
      <c r="H56" s="160">
        <v>23651</v>
      </c>
      <c r="AA56" s="160">
        <f ca="1">Ануїтетна_графік_Авто!G57</f>
        <v>47655</v>
      </c>
      <c r="AB56" s="160">
        <f t="shared" si="2"/>
        <v>53</v>
      </c>
      <c r="AD56" s="160" t="e">
        <f ca="1">Ануїтетна_графік_Авто!J57</f>
        <v>#VALUE!</v>
      </c>
      <c r="AF56" s="160" t="e">
        <f ca="1">Ануїтетна_графік_Авто!K57</f>
        <v>#VALUE!</v>
      </c>
      <c r="AH56" s="160" t="e">
        <f ca="1">Ануїтетна_графік_Авто!M57</f>
        <v>#VALUE!</v>
      </c>
      <c r="AJ56" s="160">
        <f t="shared" ca="1" si="0"/>
        <v>47664</v>
      </c>
      <c r="AK56" s="160">
        <v>53</v>
      </c>
      <c r="AM56" s="160" t="e">
        <f ca="1">Ануїтетна_графік_Авто!J57</f>
        <v>#VALUE!</v>
      </c>
      <c r="AO56" s="160" t="e">
        <f ca="1">Ануїтетна_графік_Авто!K57</f>
        <v>#VALUE!</v>
      </c>
      <c r="AQ56" s="160" t="e">
        <f ca="1">Ануїтетна_графік_Авто!M57</f>
        <v>#VALUE!</v>
      </c>
      <c r="AS56" s="160" t="e">
        <f t="shared" ca="1" si="1"/>
        <v>#VALUE!</v>
      </c>
    </row>
    <row r="57" spans="2:45" x14ac:dyDescent="0.3">
      <c r="B57" s="160">
        <v>33</v>
      </c>
      <c r="D57" s="160">
        <v>22620.97188198207</v>
      </c>
      <c r="F57" s="160">
        <v>1030.0281180179286</v>
      </c>
      <c r="H57" s="160">
        <v>23651</v>
      </c>
      <c r="AA57" s="160">
        <f ca="1">Ануїтетна_графік_Авто!G58</f>
        <v>47685</v>
      </c>
      <c r="AB57" s="160">
        <f t="shared" si="2"/>
        <v>54</v>
      </c>
      <c r="AD57" s="160" t="e">
        <f ca="1">Ануїтетна_графік_Авто!J58</f>
        <v>#VALUE!</v>
      </c>
      <c r="AF57" s="160" t="e">
        <f ca="1">Ануїтетна_графік_Авто!K58</f>
        <v>#VALUE!</v>
      </c>
      <c r="AH57" s="160" t="e">
        <f ca="1">Ануїтетна_графік_Авто!M58</f>
        <v>#VALUE!</v>
      </c>
      <c r="AJ57" s="160">
        <f t="shared" ca="1" si="0"/>
        <v>47695</v>
      </c>
      <c r="AK57" s="160">
        <v>54</v>
      </c>
      <c r="AM57" s="160" t="e">
        <f ca="1">Ануїтетна_графік_Авто!J58</f>
        <v>#VALUE!</v>
      </c>
      <c r="AO57" s="160" t="e">
        <f ca="1">Ануїтетна_графік_Авто!K58</f>
        <v>#VALUE!</v>
      </c>
      <c r="AQ57" s="160" t="e">
        <f ca="1">Ануїтетна_графік_Авто!M58</f>
        <v>#VALUE!</v>
      </c>
      <c r="AS57" s="160" t="e">
        <f t="shared" ca="1" si="1"/>
        <v>#VALUE!</v>
      </c>
    </row>
    <row r="58" spans="2:45" x14ac:dyDescent="0.3">
      <c r="B58" s="160">
        <v>34</v>
      </c>
      <c r="D58" s="160">
        <v>22924.134928886011</v>
      </c>
      <c r="F58" s="160">
        <v>726.8650711139893</v>
      </c>
      <c r="H58" s="160">
        <v>23651</v>
      </c>
      <c r="AA58" s="160">
        <f ca="1">Ануїтетна_графік_Авто!G59</f>
        <v>47716</v>
      </c>
      <c r="AB58" s="160">
        <f t="shared" si="2"/>
        <v>55</v>
      </c>
      <c r="AD58" s="160" t="e">
        <f ca="1">Ануїтетна_графік_Авто!J59</f>
        <v>#VALUE!</v>
      </c>
      <c r="AF58" s="160" t="e">
        <f ca="1">Ануїтетна_графік_Авто!K59</f>
        <v>#VALUE!</v>
      </c>
      <c r="AH58" s="160" t="e">
        <f ca="1">Ануїтетна_графік_Авто!M59</f>
        <v>#VALUE!</v>
      </c>
      <c r="AJ58" s="160">
        <f t="shared" ca="1" si="0"/>
        <v>47726</v>
      </c>
      <c r="AK58" s="160">
        <v>55</v>
      </c>
      <c r="AM58" s="160" t="e">
        <f ca="1">Ануїтетна_графік_Авто!J59</f>
        <v>#VALUE!</v>
      </c>
      <c r="AO58" s="160" t="e">
        <f ca="1">Ануїтетна_графік_Авто!K59</f>
        <v>#VALUE!</v>
      </c>
      <c r="AQ58" s="160" t="e">
        <f ca="1">Ануїтетна_графік_Авто!M59</f>
        <v>#VALUE!</v>
      </c>
      <c r="AS58" s="160" t="e">
        <f t="shared" ca="1" si="1"/>
        <v>#VALUE!</v>
      </c>
    </row>
    <row r="59" spans="2:45" x14ac:dyDescent="0.3">
      <c r="B59" s="160">
        <v>35</v>
      </c>
      <c r="D59" s="160">
        <v>23130.431855917308</v>
      </c>
      <c r="F59" s="160">
        <v>520.56814408269349</v>
      </c>
      <c r="H59" s="160">
        <v>23651</v>
      </c>
      <c r="AA59" s="160">
        <f ca="1">Ануїтетна_графік_Авто!G60</f>
        <v>47747</v>
      </c>
      <c r="AB59" s="160">
        <f t="shared" si="2"/>
        <v>56</v>
      </c>
      <c r="AD59" s="160" t="e">
        <f ca="1">Ануїтетна_графік_Авто!J60</f>
        <v>#VALUE!</v>
      </c>
      <c r="AF59" s="160" t="e">
        <f ca="1">Ануїтетна_графік_Авто!K60</f>
        <v>#VALUE!</v>
      </c>
      <c r="AH59" s="160" t="e">
        <f ca="1">Ануїтетна_графік_Авто!M60</f>
        <v>#VALUE!</v>
      </c>
      <c r="AJ59" s="160">
        <f t="shared" ca="1" si="0"/>
        <v>47756</v>
      </c>
      <c r="AK59" s="160">
        <v>56</v>
      </c>
      <c r="AM59" s="160" t="e">
        <f ca="1">Ануїтетна_графік_Авто!J60</f>
        <v>#VALUE!</v>
      </c>
      <c r="AO59" s="160" t="e">
        <f ca="1">Ануїтетна_графік_Авто!K60</f>
        <v>#VALUE!</v>
      </c>
      <c r="AQ59" s="160" t="e">
        <f ca="1">Ануїтетна_графік_Авто!M60</f>
        <v>#VALUE!</v>
      </c>
      <c r="AS59" s="160" t="e">
        <f t="shared" ca="1" si="1"/>
        <v>#VALUE!</v>
      </c>
    </row>
    <row r="60" spans="2:45" x14ac:dyDescent="0.3">
      <c r="B60" s="160">
        <v>36</v>
      </c>
      <c r="D60" s="160">
        <v>23407.731959863977</v>
      </c>
      <c r="F60" s="160">
        <v>244.94240851667661</v>
      </c>
      <c r="H60" s="160">
        <v>23652.674368380653</v>
      </c>
      <c r="AA60" s="160">
        <f ca="1">Ануїтетна_графік_Авто!G61</f>
        <v>47777</v>
      </c>
      <c r="AB60" s="160">
        <f t="shared" si="2"/>
        <v>57</v>
      </c>
      <c r="AD60" s="160" t="e">
        <f ca="1">Ануїтетна_графік_Авто!J61</f>
        <v>#VALUE!</v>
      </c>
      <c r="AF60" s="160" t="e">
        <f ca="1">Ануїтетна_графік_Авто!K61</f>
        <v>#VALUE!</v>
      </c>
      <c r="AH60" s="160" t="e">
        <f ca="1">Ануїтетна_графік_Авто!M61</f>
        <v>#VALUE!</v>
      </c>
      <c r="AJ60" s="160">
        <f t="shared" ca="1" si="0"/>
        <v>47787</v>
      </c>
      <c r="AK60" s="160">
        <v>57</v>
      </c>
      <c r="AM60" s="160" t="e">
        <f ca="1">Ануїтетна_графік_Авто!J61</f>
        <v>#VALUE!</v>
      </c>
      <c r="AO60" s="160" t="e">
        <f ca="1">Ануїтетна_графік_Авто!K61</f>
        <v>#VALUE!</v>
      </c>
      <c r="AQ60" s="160" t="e">
        <f ca="1">Ануїтетна_графік_Авто!M61</f>
        <v>#VALUE!</v>
      </c>
      <c r="AS60" s="160" t="e">
        <f t="shared" ca="1" si="1"/>
        <v>#VALUE!</v>
      </c>
    </row>
    <row r="61" spans="2:45" x14ac:dyDescent="0.3">
      <c r="B61" s="160" t="s">
        <v>283</v>
      </c>
      <c r="D61" s="160">
        <v>700000</v>
      </c>
      <c r="F61" s="160">
        <v>151437.67000000001</v>
      </c>
      <c r="H61" s="160">
        <v>851437.67</v>
      </c>
      <c r="AA61" s="160">
        <f ca="1">Ануїтетна_графік_Авто!G62</f>
        <v>47808</v>
      </c>
      <c r="AB61" s="160">
        <f t="shared" si="2"/>
        <v>58</v>
      </c>
      <c r="AD61" s="160" t="e">
        <f ca="1">Ануїтетна_графік_Авто!J62</f>
        <v>#VALUE!</v>
      </c>
      <c r="AF61" s="160" t="e">
        <f ca="1">Ануїтетна_графік_Авто!K62</f>
        <v>#VALUE!</v>
      </c>
      <c r="AH61" s="160" t="e">
        <f ca="1">Ануїтетна_графік_Авто!M62</f>
        <v>#VALUE!</v>
      </c>
      <c r="AJ61" s="160">
        <f t="shared" ca="1" si="0"/>
        <v>47817</v>
      </c>
      <c r="AK61" s="160">
        <v>58</v>
      </c>
      <c r="AM61" s="160" t="e">
        <f ca="1">Ануїтетна_графік_Авто!J62</f>
        <v>#VALUE!</v>
      </c>
      <c r="AO61" s="160" t="e">
        <f ca="1">Ануїтетна_графік_Авто!K62</f>
        <v>#VALUE!</v>
      </c>
      <c r="AQ61" s="160" t="e">
        <f ca="1">Ануїтетна_графік_Авто!M62</f>
        <v>#VALUE!</v>
      </c>
      <c r="AS61" s="160" t="e">
        <f t="shared" ca="1" si="1"/>
        <v>#VALUE!</v>
      </c>
    </row>
    <row r="62" spans="2:45" x14ac:dyDescent="0.3">
      <c r="AA62" s="160">
        <f ca="1">Ануїтетна_графік_Авто!G63</f>
        <v>47838</v>
      </c>
      <c r="AB62" s="160">
        <f t="shared" si="2"/>
        <v>59</v>
      </c>
      <c r="AD62" s="160" t="e">
        <f ca="1">Ануїтетна_графік_Авто!J63</f>
        <v>#VALUE!</v>
      </c>
      <c r="AF62" s="160" t="e">
        <f ca="1">Ануїтетна_графік_Авто!K63</f>
        <v>#VALUE!</v>
      </c>
      <c r="AH62" s="160" t="e">
        <f ca="1">Ануїтетна_графік_Авто!M63</f>
        <v>#VALUE!</v>
      </c>
      <c r="AJ62" s="160">
        <f t="shared" ca="1" si="0"/>
        <v>47848</v>
      </c>
      <c r="AK62" s="160">
        <v>59</v>
      </c>
      <c r="AM62" s="160" t="e">
        <f ca="1">Ануїтетна_графік_Авто!J63</f>
        <v>#VALUE!</v>
      </c>
      <c r="AO62" s="160" t="e">
        <f ca="1">Ануїтетна_графік_Авто!K63</f>
        <v>#VALUE!</v>
      </c>
      <c r="AQ62" s="160" t="e">
        <f ca="1">Ануїтетна_графік_Авто!M63</f>
        <v>#VALUE!</v>
      </c>
      <c r="AS62" s="160" t="e">
        <f t="shared" ca="1" si="1"/>
        <v>#VALUE!</v>
      </c>
    </row>
    <row r="63" spans="2:45" x14ac:dyDescent="0.3">
      <c r="AA63" s="160">
        <f ca="1">Ануїтетна_графік_Авто!G64</f>
        <v>47868</v>
      </c>
      <c r="AB63" s="160">
        <f t="shared" si="2"/>
        <v>60</v>
      </c>
      <c r="AD63" s="160" t="e">
        <f ca="1">Ануїтетна_графік_Авто!J64</f>
        <v>#VALUE!</v>
      </c>
      <c r="AF63" s="160" t="e">
        <f ca="1">Ануїтетна_графік_Авто!K64</f>
        <v>#VALUE!</v>
      </c>
      <c r="AH63" s="160" t="e">
        <f ca="1">Ануїтетна_графік_Авто!M64</f>
        <v>#VALUE!</v>
      </c>
      <c r="AJ63" s="160">
        <f t="shared" ca="1" si="0"/>
        <v>47879</v>
      </c>
      <c r="AK63" s="160">
        <v>60</v>
      </c>
      <c r="AM63" s="160" t="e">
        <f ca="1">Ануїтетна_графік_Авто!J64</f>
        <v>#VALUE!</v>
      </c>
      <c r="AO63" s="160" t="e">
        <f ca="1">Ануїтетна_графік_Авто!K64</f>
        <v>#VALUE!</v>
      </c>
      <c r="AQ63" s="160" t="e">
        <f ca="1">Ануїтетна_графік_Авто!M64</f>
        <v>#VALUE!</v>
      </c>
      <c r="AS63" s="160" t="e">
        <f t="shared" ca="1" si="1"/>
        <v>#VALUE!</v>
      </c>
    </row>
    <row r="64" spans="2:45" x14ac:dyDescent="0.3">
      <c r="AA64" s="160" t="str">
        <f>Ануїтетна_графік_Авто!G65</f>
        <v>Всього:</v>
      </c>
      <c r="AB64" s="160">
        <f t="shared" si="2"/>
        <v>61</v>
      </c>
      <c r="AD64" s="160" t="e">
        <f ca="1">Ануїтетна_графік_Авто!J65</f>
        <v>#VALUE!</v>
      </c>
      <c r="AF64" s="160" t="e">
        <f ca="1">Ануїтетна_графік_Авто!K65</f>
        <v>#VALUE!</v>
      </c>
      <c r="AH64" s="160" t="e">
        <f ca="1">Ануїтетна_графік_Авто!M65</f>
        <v>#VALUE!</v>
      </c>
      <c r="AJ64" s="160">
        <f t="shared" ca="1" si="0"/>
        <v>47907</v>
      </c>
      <c r="AK64" s="160">
        <v>61</v>
      </c>
      <c r="AM64" s="160" t="e">
        <f ca="1">Ануїтетна_графік_Авто!J65</f>
        <v>#VALUE!</v>
      </c>
      <c r="AO64" s="160" t="e">
        <f ca="1">Ануїтетна_графік_Авто!K65</f>
        <v>#VALUE!</v>
      </c>
      <c r="AQ64" s="160" t="e">
        <f ca="1">Ануїтетна_графік_Авто!M65</f>
        <v>#VALUE!</v>
      </c>
      <c r="AS64" s="160" t="e">
        <f t="shared" ca="1" si="1"/>
        <v>#VALUE!</v>
      </c>
    </row>
    <row r="65" spans="27:45" x14ac:dyDescent="0.3">
      <c r="AA65" s="160" t="e">
        <f ca="1">Ануїтетна_графік_Авто!G66</f>
        <v>#VALUE!</v>
      </c>
      <c r="AB65" s="160">
        <f t="shared" si="2"/>
        <v>62</v>
      </c>
      <c r="AD65" s="160" t="e">
        <f ca="1">Ануїтетна_графік_Авто!J66</f>
        <v>#VALUE!</v>
      </c>
      <c r="AF65" s="160" t="e">
        <f ca="1">Ануїтетна_графік_Авто!K66</f>
        <v>#VALUE!</v>
      </c>
      <c r="AH65" s="160" t="e">
        <f ca="1">Ануїтетна_графік_Авто!M66</f>
        <v>#VALUE!</v>
      </c>
      <c r="AJ65" s="160">
        <f t="shared" ca="1" si="0"/>
        <v>47938</v>
      </c>
      <c r="AK65" s="160">
        <v>62</v>
      </c>
      <c r="AM65" s="160" t="e">
        <f ca="1">Ануїтетна_графік_Авто!J66</f>
        <v>#VALUE!</v>
      </c>
      <c r="AO65" s="160" t="e">
        <f ca="1">Ануїтетна_графік_Авто!K66</f>
        <v>#VALUE!</v>
      </c>
      <c r="AQ65" s="160" t="e">
        <f ca="1">Ануїтетна_графік_Авто!M66</f>
        <v>#VALUE!</v>
      </c>
      <c r="AS65" s="160" t="e">
        <f t="shared" ca="1" si="1"/>
        <v>#VALUE!</v>
      </c>
    </row>
    <row r="66" spans="27:45" x14ac:dyDescent="0.3">
      <c r="AA66" s="160" t="e">
        <f ca="1">Ануїтетна_графік_Авто!G67</f>
        <v>#VALUE!</v>
      </c>
      <c r="AB66" s="160">
        <f t="shared" si="2"/>
        <v>63</v>
      </c>
      <c r="AD66" s="160" t="e">
        <f ca="1">Ануїтетна_графік_Авто!J67</f>
        <v>#VALUE!</v>
      </c>
      <c r="AF66" s="160" t="e">
        <f ca="1">Ануїтетна_графік_Авто!K67</f>
        <v>#VALUE!</v>
      </c>
      <c r="AH66" s="160" t="e">
        <f ca="1">Ануїтетна_графік_Авто!M67</f>
        <v>#VALUE!</v>
      </c>
      <c r="AJ66" s="160">
        <f t="shared" ca="1" si="0"/>
        <v>47968</v>
      </c>
      <c r="AK66" s="160">
        <v>63</v>
      </c>
      <c r="AM66" s="160" t="e">
        <f ca="1">Ануїтетна_графік_Авто!J67</f>
        <v>#VALUE!</v>
      </c>
      <c r="AO66" s="160" t="e">
        <f ca="1">Ануїтетна_графік_Авто!K67</f>
        <v>#VALUE!</v>
      </c>
      <c r="AQ66" s="160" t="e">
        <f ca="1">Ануїтетна_графік_Авто!M67</f>
        <v>#VALUE!</v>
      </c>
      <c r="AS66" s="160" t="e">
        <f t="shared" ca="1" si="1"/>
        <v>#VALUE!</v>
      </c>
    </row>
    <row r="67" spans="27:45" x14ac:dyDescent="0.3">
      <c r="AA67" s="160" t="e">
        <f ca="1">Ануїтетна_графік_Авто!G68</f>
        <v>#VALUE!</v>
      </c>
      <c r="AB67" s="160">
        <f t="shared" si="2"/>
        <v>64</v>
      </c>
      <c r="AD67" s="160" t="e">
        <f ca="1">Ануїтетна_графік_Авто!J68</f>
        <v>#VALUE!</v>
      </c>
      <c r="AF67" s="160" t="e">
        <f ca="1">Ануїтетна_графік_Авто!K68</f>
        <v>#VALUE!</v>
      </c>
      <c r="AH67" s="160" t="e">
        <f ca="1">Ануїтетна_графік_Авто!M68</f>
        <v>#VALUE!</v>
      </c>
      <c r="AJ67" s="160">
        <f t="shared" ca="1" si="0"/>
        <v>47999</v>
      </c>
      <c r="AK67" s="160">
        <v>64</v>
      </c>
      <c r="AM67" s="160" t="e">
        <f ca="1">Ануїтетна_графік_Авто!J68</f>
        <v>#VALUE!</v>
      </c>
      <c r="AO67" s="160" t="e">
        <f ca="1">Ануїтетна_графік_Авто!K68</f>
        <v>#VALUE!</v>
      </c>
      <c r="AQ67" s="160" t="e">
        <f ca="1">Ануїтетна_графік_Авто!M68</f>
        <v>#VALUE!</v>
      </c>
      <c r="AS67" s="160" t="e">
        <f t="shared" ca="1" si="1"/>
        <v>#VALUE!</v>
      </c>
    </row>
    <row r="68" spans="27:45" x14ac:dyDescent="0.3">
      <c r="AA68" s="160" t="e">
        <f ca="1">Ануїтетна_графік_Авто!G69</f>
        <v>#VALUE!</v>
      </c>
      <c r="AB68" s="160">
        <f t="shared" si="2"/>
        <v>65</v>
      </c>
      <c r="AD68" s="160" t="e">
        <f ca="1">Ануїтетна_графік_Авто!J69</f>
        <v>#VALUE!</v>
      </c>
      <c r="AF68" s="160" t="e">
        <f ca="1">Ануїтетна_графік_Авто!K69</f>
        <v>#VALUE!</v>
      </c>
      <c r="AH68" s="160" t="e">
        <f ca="1">Ануїтетна_графік_Авто!M69</f>
        <v>#VALUE!</v>
      </c>
      <c r="AJ68" s="160">
        <f t="shared" ca="1" si="0"/>
        <v>48029</v>
      </c>
      <c r="AK68" s="160">
        <v>65</v>
      </c>
      <c r="AM68" s="160" t="e">
        <f ca="1">Ануїтетна_графік_Авто!J69</f>
        <v>#VALUE!</v>
      </c>
      <c r="AO68" s="160" t="e">
        <f ca="1">Ануїтетна_графік_Авто!K69</f>
        <v>#VALUE!</v>
      </c>
      <c r="AQ68" s="160" t="e">
        <f ca="1">Ануїтетна_графік_Авто!M69</f>
        <v>#VALUE!</v>
      </c>
      <c r="AS68" s="160" t="e">
        <f t="shared" ca="1" si="1"/>
        <v>#VALUE!</v>
      </c>
    </row>
    <row r="69" spans="27:45" x14ac:dyDescent="0.3">
      <c r="AA69" s="160" t="e">
        <f ca="1">Ануїтетна_графік_Авто!G70</f>
        <v>#VALUE!</v>
      </c>
      <c r="AB69" s="160">
        <f t="shared" si="2"/>
        <v>66</v>
      </c>
      <c r="AD69" s="160" t="e">
        <f ca="1">Ануїтетна_графік_Авто!J70</f>
        <v>#VALUE!</v>
      </c>
      <c r="AF69" s="160" t="e">
        <f ca="1">Ануїтетна_графік_Авто!K70</f>
        <v>#VALUE!</v>
      </c>
      <c r="AH69" s="160" t="e">
        <f ca="1">Ануїтетна_графік_Авто!M70</f>
        <v>#VALUE!</v>
      </c>
      <c r="AJ69" s="160">
        <f t="shared" ref="AJ69:AJ89" ca="1" si="3">IF(AK69="","",DATE(YEAR(AJ68),MONTH(AJ68)+2,DAY(1)-1))</f>
        <v>48060</v>
      </c>
      <c r="AK69" s="160">
        <v>66</v>
      </c>
      <c r="AM69" s="160" t="e">
        <f ca="1">Ануїтетна_графік_Авто!J70</f>
        <v>#VALUE!</v>
      </c>
      <c r="AO69" s="160" t="e">
        <f ca="1">Ануїтетна_графік_Авто!K70</f>
        <v>#VALUE!</v>
      </c>
      <c r="AQ69" s="160" t="e">
        <f ca="1">Ануїтетна_графік_Авто!M70</f>
        <v>#VALUE!</v>
      </c>
      <c r="AS69" s="160" t="e">
        <f t="shared" ca="1" si="1"/>
        <v>#VALUE!</v>
      </c>
    </row>
    <row r="70" spans="27:45" x14ac:dyDescent="0.3">
      <c r="AA70" s="160" t="e">
        <f ca="1">Ануїтетна_графік_Авто!G71</f>
        <v>#VALUE!</v>
      </c>
      <c r="AB70" s="160">
        <f t="shared" si="2"/>
        <v>67</v>
      </c>
      <c r="AD70" s="160" t="e">
        <f ca="1">Ануїтетна_графік_Авто!J71</f>
        <v>#VALUE!</v>
      </c>
      <c r="AF70" s="160" t="e">
        <f ca="1">Ануїтетна_графік_Авто!K71</f>
        <v>#VALUE!</v>
      </c>
      <c r="AH70" s="160" t="e">
        <f ca="1">Ануїтетна_графік_Авто!M71</f>
        <v>#VALUE!</v>
      </c>
      <c r="AJ70" s="160">
        <f t="shared" ca="1" si="3"/>
        <v>48091</v>
      </c>
      <c r="AK70" s="160">
        <v>67</v>
      </c>
      <c r="AM70" s="160" t="e">
        <f ca="1">Ануїтетна_графік_Авто!J71</f>
        <v>#VALUE!</v>
      </c>
      <c r="AO70" s="160" t="e">
        <f ca="1">Ануїтетна_графік_Авто!K71</f>
        <v>#VALUE!</v>
      </c>
      <c r="AQ70" s="160" t="e">
        <f ca="1">Ануїтетна_графік_Авто!M71</f>
        <v>#VALUE!</v>
      </c>
      <c r="AS70" s="160" t="e">
        <f t="shared" ref="AS70:AS89" ca="1" si="4">AS69-AM69</f>
        <v>#VALUE!</v>
      </c>
    </row>
    <row r="71" spans="27:45" x14ac:dyDescent="0.3">
      <c r="AA71" s="160" t="e">
        <f ca="1">Ануїтетна_графік_Авто!G72</f>
        <v>#VALUE!</v>
      </c>
      <c r="AB71" s="160">
        <f t="shared" si="2"/>
        <v>68</v>
      </c>
      <c r="AD71" s="160" t="e">
        <f ca="1">Ануїтетна_графік_Авто!J72</f>
        <v>#VALUE!</v>
      </c>
      <c r="AF71" s="160" t="e">
        <f ca="1">Ануїтетна_графік_Авто!K72</f>
        <v>#VALUE!</v>
      </c>
      <c r="AH71" s="160" t="e">
        <f ca="1">Ануїтетна_графік_Авто!M72</f>
        <v>#VALUE!</v>
      </c>
      <c r="AJ71" s="160">
        <f t="shared" ca="1" si="3"/>
        <v>48121</v>
      </c>
      <c r="AK71" s="160">
        <v>68</v>
      </c>
      <c r="AM71" s="160" t="e">
        <f ca="1">Ануїтетна_графік_Авто!J72</f>
        <v>#VALUE!</v>
      </c>
      <c r="AO71" s="160" t="e">
        <f ca="1">Ануїтетна_графік_Авто!K72</f>
        <v>#VALUE!</v>
      </c>
      <c r="AQ71" s="160" t="e">
        <f ca="1">Ануїтетна_графік_Авто!M72</f>
        <v>#VALUE!</v>
      </c>
      <c r="AS71" s="160" t="e">
        <f t="shared" ca="1" si="4"/>
        <v>#VALUE!</v>
      </c>
    </row>
    <row r="72" spans="27:45" x14ac:dyDescent="0.3">
      <c r="AA72" s="160" t="e">
        <f ca="1">Ануїтетна_графік_Авто!G73</f>
        <v>#VALUE!</v>
      </c>
      <c r="AB72" s="160">
        <f t="shared" si="2"/>
        <v>69</v>
      </c>
      <c r="AD72" s="160" t="e">
        <f ca="1">Ануїтетна_графік_Авто!J73</f>
        <v>#VALUE!</v>
      </c>
      <c r="AF72" s="160" t="e">
        <f ca="1">Ануїтетна_графік_Авто!K73</f>
        <v>#VALUE!</v>
      </c>
      <c r="AH72" s="160" t="e">
        <f ca="1">Ануїтетна_графік_Авто!M73</f>
        <v>#VALUE!</v>
      </c>
      <c r="AJ72" s="160">
        <f t="shared" ca="1" si="3"/>
        <v>48152</v>
      </c>
      <c r="AK72" s="160">
        <v>69</v>
      </c>
      <c r="AM72" s="160" t="e">
        <f ca="1">Ануїтетна_графік_Авто!J73</f>
        <v>#VALUE!</v>
      </c>
      <c r="AO72" s="160" t="e">
        <f ca="1">Ануїтетна_графік_Авто!K73</f>
        <v>#VALUE!</v>
      </c>
      <c r="AQ72" s="160" t="e">
        <f ca="1">Ануїтетна_графік_Авто!M73</f>
        <v>#VALUE!</v>
      </c>
      <c r="AS72" s="160" t="e">
        <f t="shared" ca="1" si="4"/>
        <v>#VALUE!</v>
      </c>
    </row>
    <row r="73" spans="27:45" x14ac:dyDescent="0.3">
      <c r="AA73" s="160" t="e">
        <f ca="1">Ануїтетна_графік_Авто!G74</f>
        <v>#VALUE!</v>
      </c>
      <c r="AB73" s="160">
        <f t="shared" si="2"/>
        <v>70</v>
      </c>
      <c r="AD73" s="160" t="e">
        <f ca="1">Ануїтетна_графік_Авто!J74</f>
        <v>#VALUE!</v>
      </c>
      <c r="AF73" s="160" t="e">
        <f ca="1">Ануїтетна_графік_Авто!K74</f>
        <v>#VALUE!</v>
      </c>
      <c r="AH73" s="160" t="e">
        <f ca="1">Ануїтетна_графік_Авто!M74</f>
        <v>#VALUE!</v>
      </c>
      <c r="AJ73" s="160">
        <f t="shared" ca="1" si="3"/>
        <v>48182</v>
      </c>
      <c r="AK73" s="160">
        <v>70</v>
      </c>
      <c r="AM73" s="160" t="e">
        <f ca="1">Ануїтетна_графік_Авто!J74</f>
        <v>#VALUE!</v>
      </c>
      <c r="AO73" s="160" t="e">
        <f ca="1">Ануїтетна_графік_Авто!K74</f>
        <v>#VALUE!</v>
      </c>
      <c r="AQ73" s="160" t="e">
        <f ca="1">Ануїтетна_графік_Авто!M74</f>
        <v>#VALUE!</v>
      </c>
      <c r="AS73" s="160" t="e">
        <f t="shared" ca="1" si="4"/>
        <v>#VALUE!</v>
      </c>
    </row>
    <row r="74" spans="27:45" x14ac:dyDescent="0.3">
      <c r="AA74" s="160" t="e">
        <f ca="1">Ануїтетна_графік_Авто!G75</f>
        <v>#VALUE!</v>
      </c>
      <c r="AB74" s="160">
        <f t="shared" si="2"/>
        <v>71</v>
      </c>
      <c r="AD74" s="160" t="e">
        <f ca="1">Ануїтетна_графік_Авто!J75</f>
        <v>#VALUE!</v>
      </c>
      <c r="AF74" s="160" t="e">
        <f ca="1">Ануїтетна_графік_Авто!K75</f>
        <v>#VALUE!</v>
      </c>
      <c r="AH74" s="160" t="e">
        <f ca="1">Ануїтетна_графік_Авто!M75</f>
        <v>#VALUE!</v>
      </c>
      <c r="AJ74" s="160">
        <f t="shared" ca="1" si="3"/>
        <v>48213</v>
      </c>
      <c r="AK74" s="160">
        <v>71</v>
      </c>
      <c r="AM74" s="160" t="e">
        <f ca="1">Ануїтетна_графік_Авто!J75</f>
        <v>#VALUE!</v>
      </c>
      <c r="AO74" s="160" t="e">
        <f ca="1">Ануїтетна_графік_Авто!K75</f>
        <v>#VALUE!</v>
      </c>
      <c r="AQ74" s="160" t="e">
        <f ca="1">Ануїтетна_графік_Авто!M75</f>
        <v>#VALUE!</v>
      </c>
      <c r="AS74" s="160" t="e">
        <f t="shared" ca="1" si="4"/>
        <v>#VALUE!</v>
      </c>
    </row>
    <row r="75" spans="27:45" x14ac:dyDescent="0.3">
      <c r="AA75" s="160" t="e">
        <f ca="1">Ануїтетна_графік_Авто!G76</f>
        <v>#VALUE!</v>
      </c>
      <c r="AB75" s="160">
        <f t="shared" si="2"/>
        <v>72</v>
      </c>
      <c r="AD75" s="160" t="e">
        <f ca="1">Ануїтетна_графік_Авто!J76</f>
        <v>#VALUE!</v>
      </c>
      <c r="AF75" s="160" t="e">
        <f ca="1">Ануїтетна_графік_Авто!K76</f>
        <v>#VALUE!</v>
      </c>
      <c r="AH75" s="160" t="e">
        <f ca="1">Ануїтетна_графік_Авто!M76</f>
        <v>#VALUE!</v>
      </c>
      <c r="AJ75" s="160">
        <f t="shared" ca="1" si="3"/>
        <v>48244</v>
      </c>
      <c r="AK75" s="160">
        <v>72</v>
      </c>
      <c r="AM75" s="160" t="e">
        <f ca="1">Ануїтетна_графік_Авто!J76</f>
        <v>#VALUE!</v>
      </c>
      <c r="AO75" s="160" t="e">
        <f ca="1">Ануїтетна_графік_Авто!K76</f>
        <v>#VALUE!</v>
      </c>
      <c r="AQ75" s="160" t="e">
        <f ca="1">Ануїтетна_графік_Авто!M76</f>
        <v>#VALUE!</v>
      </c>
      <c r="AS75" s="160" t="e">
        <f t="shared" ca="1" si="4"/>
        <v>#VALUE!</v>
      </c>
    </row>
    <row r="76" spans="27:45" x14ac:dyDescent="0.3">
      <c r="AA76" s="160" t="e">
        <f ca="1">Ануїтетна_графік_Авто!G77</f>
        <v>#VALUE!</v>
      </c>
      <c r="AB76" s="160">
        <f t="shared" si="2"/>
        <v>73</v>
      </c>
      <c r="AD76" s="160" t="e">
        <f ca="1">Ануїтетна_графік_Авто!J77</f>
        <v>#VALUE!</v>
      </c>
      <c r="AF76" s="160" t="e">
        <f ca="1">Ануїтетна_графік_Авто!K77</f>
        <v>#VALUE!</v>
      </c>
      <c r="AH76" s="160" t="e">
        <f ca="1">Ануїтетна_графік_Авто!M77</f>
        <v>#VALUE!</v>
      </c>
      <c r="AJ76" s="160">
        <f t="shared" ca="1" si="3"/>
        <v>48273</v>
      </c>
      <c r="AK76" s="160">
        <v>73</v>
      </c>
      <c r="AM76" s="160" t="e">
        <f ca="1">Ануїтетна_графік_Авто!J77</f>
        <v>#VALUE!</v>
      </c>
      <c r="AO76" s="160" t="e">
        <f ca="1">Ануїтетна_графік_Авто!K77</f>
        <v>#VALUE!</v>
      </c>
      <c r="AQ76" s="160" t="e">
        <f ca="1">Ануїтетна_графік_Авто!M77</f>
        <v>#VALUE!</v>
      </c>
      <c r="AS76" s="160" t="e">
        <f t="shared" ca="1" si="4"/>
        <v>#VALUE!</v>
      </c>
    </row>
    <row r="77" spans="27:45" x14ac:dyDescent="0.3">
      <c r="AA77" s="160" t="e">
        <f ca="1">Ануїтетна_графік_Авто!G78</f>
        <v>#VALUE!</v>
      </c>
      <c r="AB77" s="160">
        <f t="shared" si="2"/>
        <v>74</v>
      </c>
      <c r="AD77" s="160" t="e">
        <f ca="1">Ануїтетна_графік_Авто!J78</f>
        <v>#VALUE!</v>
      </c>
      <c r="AF77" s="160" t="e">
        <f ca="1">Ануїтетна_графік_Авто!K78</f>
        <v>#VALUE!</v>
      </c>
      <c r="AH77" s="160" t="e">
        <f ca="1">Ануїтетна_графік_Авто!M78</f>
        <v>#VALUE!</v>
      </c>
      <c r="AJ77" s="160">
        <f t="shared" ca="1" si="3"/>
        <v>48304</v>
      </c>
      <c r="AK77" s="160">
        <v>74</v>
      </c>
      <c r="AM77" s="160" t="e">
        <f ca="1">Ануїтетна_графік_Авто!J78</f>
        <v>#VALUE!</v>
      </c>
      <c r="AO77" s="160" t="e">
        <f ca="1">Ануїтетна_графік_Авто!K78</f>
        <v>#VALUE!</v>
      </c>
      <c r="AQ77" s="160" t="e">
        <f ca="1">Ануїтетна_графік_Авто!M78</f>
        <v>#VALUE!</v>
      </c>
      <c r="AS77" s="160" t="e">
        <f t="shared" ca="1" si="4"/>
        <v>#VALUE!</v>
      </c>
    </row>
    <row r="78" spans="27:45" x14ac:dyDescent="0.3">
      <c r="AA78" s="160" t="e">
        <f ca="1">Ануїтетна_графік_Авто!G79</f>
        <v>#VALUE!</v>
      </c>
      <c r="AB78" s="160">
        <f t="shared" si="2"/>
        <v>75</v>
      </c>
      <c r="AD78" s="160" t="e">
        <f ca="1">Ануїтетна_графік_Авто!J79</f>
        <v>#VALUE!</v>
      </c>
      <c r="AF78" s="160" t="e">
        <f ca="1">Ануїтетна_графік_Авто!K79</f>
        <v>#VALUE!</v>
      </c>
      <c r="AH78" s="160" t="e">
        <f ca="1">Ануїтетна_графік_Авто!M79</f>
        <v>#VALUE!</v>
      </c>
      <c r="AJ78" s="160">
        <f t="shared" ca="1" si="3"/>
        <v>48334</v>
      </c>
      <c r="AK78" s="160">
        <v>75</v>
      </c>
      <c r="AM78" s="160" t="e">
        <f ca="1">Ануїтетна_графік_Авто!J79</f>
        <v>#VALUE!</v>
      </c>
      <c r="AO78" s="160" t="e">
        <f ca="1">Ануїтетна_графік_Авто!K79</f>
        <v>#VALUE!</v>
      </c>
      <c r="AQ78" s="160" t="e">
        <f ca="1">Ануїтетна_графік_Авто!M79</f>
        <v>#VALUE!</v>
      </c>
      <c r="AS78" s="160" t="e">
        <f t="shared" ca="1" si="4"/>
        <v>#VALUE!</v>
      </c>
    </row>
    <row r="79" spans="27:45" x14ac:dyDescent="0.3">
      <c r="AA79" s="160" t="e">
        <f ca="1">Ануїтетна_графік_Авто!G80</f>
        <v>#VALUE!</v>
      </c>
      <c r="AB79" s="160">
        <f>AB78+1</f>
        <v>76</v>
      </c>
      <c r="AD79" s="160" t="e">
        <f ca="1">Ануїтетна_графік_Авто!J80</f>
        <v>#VALUE!</v>
      </c>
      <c r="AF79" s="160" t="e">
        <f ca="1">Ануїтетна_графік_Авто!K80</f>
        <v>#VALUE!</v>
      </c>
      <c r="AH79" s="160" t="e">
        <f ca="1">Ануїтетна_графік_Авто!M80</f>
        <v>#VALUE!</v>
      </c>
      <c r="AJ79" s="160">
        <f t="shared" ca="1" si="3"/>
        <v>48365</v>
      </c>
      <c r="AK79" s="160">
        <v>76</v>
      </c>
      <c r="AM79" s="160" t="e">
        <f ca="1">Ануїтетна_графік_Авто!J80</f>
        <v>#VALUE!</v>
      </c>
      <c r="AO79" s="160" t="e">
        <f ca="1">Ануїтетна_графік_Авто!K80</f>
        <v>#VALUE!</v>
      </c>
      <c r="AQ79" s="160" t="e">
        <f ca="1">Ануїтетна_графік_Авто!M80</f>
        <v>#VALUE!</v>
      </c>
      <c r="AS79" s="160" t="e">
        <f t="shared" ca="1" si="4"/>
        <v>#VALUE!</v>
      </c>
    </row>
    <row r="80" spans="27:45" x14ac:dyDescent="0.3">
      <c r="AA80" s="160" t="e">
        <f ca="1">Ануїтетна_графік_Авто!G81</f>
        <v>#VALUE!</v>
      </c>
      <c r="AB80" s="160">
        <f t="shared" ref="AB80:AB88" si="5">AB79+1</f>
        <v>77</v>
      </c>
      <c r="AD80" s="160" t="e">
        <f ca="1">Ануїтетна_графік_Авто!J81</f>
        <v>#VALUE!</v>
      </c>
      <c r="AF80" s="160" t="e">
        <f ca="1">Ануїтетна_графік_Авто!K81</f>
        <v>#VALUE!</v>
      </c>
      <c r="AH80" s="160" t="e">
        <f ca="1">Ануїтетна_графік_Авто!M81</f>
        <v>#VALUE!</v>
      </c>
      <c r="AJ80" s="160">
        <f t="shared" ca="1" si="3"/>
        <v>48395</v>
      </c>
      <c r="AK80" s="160">
        <v>77</v>
      </c>
      <c r="AM80" s="160" t="e">
        <f ca="1">Ануїтетна_графік_Авто!J81</f>
        <v>#VALUE!</v>
      </c>
      <c r="AO80" s="160" t="e">
        <f ca="1">Ануїтетна_графік_Авто!K81</f>
        <v>#VALUE!</v>
      </c>
      <c r="AQ80" s="160" t="e">
        <f ca="1">Ануїтетна_графік_Авто!M81</f>
        <v>#VALUE!</v>
      </c>
      <c r="AS80" s="160" t="e">
        <f t="shared" ca="1" si="4"/>
        <v>#VALUE!</v>
      </c>
    </row>
    <row r="81" spans="27:45" x14ac:dyDescent="0.3">
      <c r="AA81" s="160" t="e">
        <f ca="1">Ануїтетна_графік_Авто!G82</f>
        <v>#VALUE!</v>
      </c>
      <c r="AB81" s="160">
        <f t="shared" si="5"/>
        <v>78</v>
      </c>
      <c r="AD81" s="160" t="e">
        <f ca="1">Ануїтетна_графік_Авто!J82</f>
        <v>#VALUE!</v>
      </c>
      <c r="AF81" s="160" t="e">
        <f ca="1">Ануїтетна_графік_Авто!K82</f>
        <v>#VALUE!</v>
      </c>
      <c r="AH81" s="160" t="e">
        <f ca="1">Ануїтетна_графік_Авто!M82</f>
        <v>#VALUE!</v>
      </c>
      <c r="AJ81" s="160">
        <f t="shared" ca="1" si="3"/>
        <v>48426</v>
      </c>
      <c r="AK81" s="160">
        <v>78</v>
      </c>
      <c r="AM81" s="160" t="e">
        <f ca="1">Ануїтетна_графік_Авто!J82</f>
        <v>#VALUE!</v>
      </c>
      <c r="AO81" s="160" t="e">
        <f ca="1">Ануїтетна_графік_Авто!K82</f>
        <v>#VALUE!</v>
      </c>
      <c r="AQ81" s="160" t="e">
        <f ca="1">Ануїтетна_графік_Авто!M82</f>
        <v>#VALUE!</v>
      </c>
      <c r="AS81" s="160" t="e">
        <f t="shared" ca="1" si="4"/>
        <v>#VALUE!</v>
      </c>
    </row>
    <row r="82" spans="27:45" x14ac:dyDescent="0.3">
      <c r="AA82" s="160" t="e">
        <f ca="1">Ануїтетна_графік_Авто!G83</f>
        <v>#VALUE!</v>
      </c>
      <c r="AB82" s="160">
        <f t="shared" si="5"/>
        <v>79</v>
      </c>
      <c r="AD82" s="160" t="e">
        <f ca="1">Ануїтетна_графік_Авто!J83</f>
        <v>#VALUE!</v>
      </c>
      <c r="AF82" s="160" t="e">
        <f ca="1">Ануїтетна_графік_Авто!K83</f>
        <v>#VALUE!</v>
      </c>
      <c r="AH82" s="160" t="e">
        <f ca="1">Ануїтетна_графік_Авто!M83</f>
        <v>#VALUE!</v>
      </c>
      <c r="AJ82" s="160">
        <f t="shared" ca="1" si="3"/>
        <v>48457</v>
      </c>
      <c r="AK82" s="160">
        <v>79</v>
      </c>
      <c r="AM82" s="160" t="e">
        <f ca="1">Ануїтетна_графік_Авто!J83</f>
        <v>#VALUE!</v>
      </c>
      <c r="AO82" s="160" t="e">
        <f ca="1">Ануїтетна_графік_Авто!K83</f>
        <v>#VALUE!</v>
      </c>
      <c r="AQ82" s="160" t="e">
        <f ca="1">Ануїтетна_графік_Авто!M83</f>
        <v>#VALUE!</v>
      </c>
      <c r="AS82" s="160" t="e">
        <f t="shared" ca="1" si="4"/>
        <v>#VALUE!</v>
      </c>
    </row>
    <row r="83" spans="27:45" x14ac:dyDescent="0.3">
      <c r="AA83" s="160" t="e">
        <f ca="1">Ануїтетна_графік_Авто!G84</f>
        <v>#VALUE!</v>
      </c>
      <c r="AB83" s="160">
        <f t="shared" si="5"/>
        <v>80</v>
      </c>
      <c r="AD83" s="160" t="e">
        <f ca="1">Ануїтетна_графік_Авто!J84</f>
        <v>#VALUE!</v>
      </c>
      <c r="AF83" s="160" t="e">
        <f ca="1">Ануїтетна_графік_Авто!K84</f>
        <v>#VALUE!</v>
      </c>
      <c r="AH83" s="160" t="e">
        <f ca="1">Ануїтетна_графік_Авто!M84</f>
        <v>#VALUE!</v>
      </c>
      <c r="AJ83" s="160">
        <f t="shared" ca="1" si="3"/>
        <v>48487</v>
      </c>
      <c r="AK83" s="160">
        <v>80</v>
      </c>
      <c r="AM83" s="160" t="e">
        <f ca="1">Ануїтетна_графік_Авто!J84</f>
        <v>#VALUE!</v>
      </c>
      <c r="AO83" s="160" t="e">
        <f ca="1">Ануїтетна_графік_Авто!K84</f>
        <v>#VALUE!</v>
      </c>
      <c r="AQ83" s="160" t="e">
        <f ca="1">Ануїтетна_графік_Авто!M84</f>
        <v>#VALUE!</v>
      </c>
      <c r="AS83" s="160" t="e">
        <f t="shared" ca="1" si="4"/>
        <v>#VALUE!</v>
      </c>
    </row>
    <row r="84" spans="27:45" x14ac:dyDescent="0.3">
      <c r="AA84" s="160" t="e">
        <f ca="1">Ануїтетна_графік_Авто!G85</f>
        <v>#VALUE!</v>
      </c>
      <c r="AB84" s="160">
        <f t="shared" si="5"/>
        <v>81</v>
      </c>
      <c r="AD84" s="160" t="e">
        <f ca="1">Ануїтетна_графік_Авто!J85</f>
        <v>#VALUE!</v>
      </c>
      <c r="AF84" s="160" t="e">
        <f ca="1">Ануїтетна_графік_Авто!K85</f>
        <v>#VALUE!</v>
      </c>
      <c r="AH84" s="160" t="e">
        <f ca="1">Ануїтетна_графік_Авто!M85</f>
        <v>#VALUE!</v>
      </c>
      <c r="AJ84" s="160">
        <f t="shared" ca="1" si="3"/>
        <v>48518</v>
      </c>
      <c r="AK84" s="160">
        <v>81</v>
      </c>
      <c r="AM84" s="160" t="e">
        <f ca="1">Ануїтетна_графік_Авто!J85</f>
        <v>#VALUE!</v>
      </c>
      <c r="AO84" s="160" t="e">
        <f ca="1">Ануїтетна_графік_Авто!K85</f>
        <v>#VALUE!</v>
      </c>
      <c r="AQ84" s="160" t="e">
        <f ca="1">Ануїтетна_графік_Авто!M85</f>
        <v>#VALUE!</v>
      </c>
      <c r="AS84" s="160" t="e">
        <f t="shared" ca="1" si="4"/>
        <v>#VALUE!</v>
      </c>
    </row>
    <row r="85" spans="27:45" x14ac:dyDescent="0.3">
      <c r="AA85" s="160" t="e">
        <f ca="1">Ануїтетна_графік_Авто!G86</f>
        <v>#VALUE!</v>
      </c>
      <c r="AB85" s="160">
        <f t="shared" si="5"/>
        <v>82</v>
      </c>
      <c r="AD85" s="160" t="e">
        <f ca="1">Ануїтетна_графік_Авто!J86</f>
        <v>#VALUE!</v>
      </c>
      <c r="AF85" s="160" t="e">
        <f ca="1">Ануїтетна_графік_Авто!K86</f>
        <v>#VALUE!</v>
      </c>
      <c r="AH85" s="160" t="e">
        <f ca="1">Ануїтетна_графік_Авто!M86</f>
        <v>#VALUE!</v>
      </c>
      <c r="AJ85" s="160">
        <f t="shared" ca="1" si="3"/>
        <v>48548</v>
      </c>
      <c r="AK85" s="160">
        <v>82</v>
      </c>
      <c r="AM85" s="160" t="e">
        <f ca="1">Ануїтетна_графік_Авто!J86</f>
        <v>#VALUE!</v>
      </c>
      <c r="AO85" s="160" t="e">
        <f ca="1">Ануїтетна_графік_Авто!K86</f>
        <v>#VALUE!</v>
      </c>
      <c r="AQ85" s="160" t="e">
        <f ca="1">Ануїтетна_графік_Авто!M86</f>
        <v>#VALUE!</v>
      </c>
      <c r="AS85" s="160" t="e">
        <f t="shared" ca="1" si="4"/>
        <v>#VALUE!</v>
      </c>
    </row>
    <row r="86" spans="27:45" x14ac:dyDescent="0.3">
      <c r="AA86" s="160" t="e">
        <f ca="1">Ануїтетна_графік_Авто!G87</f>
        <v>#VALUE!</v>
      </c>
      <c r="AB86" s="160">
        <f t="shared" si="5"/>
        <v>83</v>
      </c>
      <c r="AD86" s="160" t="e">
        <f ca="1">Ануїтетна_графік_Авто!J87</f>
        <v>#VALUE!</v>
      </c>
      <c r="AF86" s="160" t="e">
        <f ca="1">Ануїтетна_графік_Авто!K87</f>
        <v>#VALUE!</v>
      </c>
      <c r="AH86" s="160" t="e">
        <f ca="1">Ануїтетна_графік_Авто!M87</f>
        <v>#VALUE!</v>
      </c>
      <c r="AJ86" s="160">
        <f t="shared" ca="1" si="3"/>
        <v>48579</v>
      </c>
      <c r="AK86" s="160">
        <v>83</v>
      </c>
      <c r="AM86" s="160" t="e">
        <f ca="1">Ануїтетна_графік_Авто!J87</f>
        <v>#VALUE!</v>
      </c>
      <c r="AO86" s="160" t="e">
        <f ca="1">Ануїтетна_графік_Авто!K87</f>
        <v>#VALUE!</v>
      </c>
      <c r="AQ86" s="160" t="e">
        <f ca="1">Ануїтетна_графік_Авто!M87</f>
        <v>#VALUE!</v>
      </c>
      <c r="AS86" s="160" t="e">
        <f t="shared" ca="1" si="4"/>
        <v>#VALUE!</v>
      </c>
    </row>
    <row r="87" spans="27:45" x14ac:dyDescent="0.3">
      <c r="AA87" s="160" t="e">
        <f ca="1">Ануїтетна_графік_Авто!G88</f>
        <v>#VALUE!</v>
      </c>
      <c r="AB87" s="160">
        <f>AB86+1</f>
        <v>84</v>
      </c>
      <c r="AD87" s="160" t="e">
        <f ca="1">Ануїтетна_графік_Авто!J88</f>
        <v>#VALUE!</v>
      </c>
      <c r="AF87" s="160" t="e">
        <f ca="1">Ануїтетна_графік_Авто!K88</f>
        <v>#VALUE!</v>
      </c>
      <c r="AH87" s="160" t="e">
        <f ca="1">Ануїтетна_графік_Авто!M88</f>
        <v>#VALUE!</v>
      </c>
      <c r="AJ87" s="160">
        <f t="shared" ca="1" si="3"/>
        <v>48610</v>
      </c>
      <c r="AK87" s="160">
        <v>84</v>
      </c>
      <c r="AM87" s="160" t="e">
        <f ca="1">Ануїтетна_графік_Авто!J88</f>
        <v>#VALUE!</v>
      </c>
      <c r="AO87" s="160" t="e">
        <f ca="1">Ануїтетна_графік_Авто!K88</f>
        <v>#VALUE!</v>
      </c>
      <c r="AQ87" s="160" t="e">
        <f ca="1">Ануїтетна_графік_Авто!M88</f>
        <v>#VALUE!</v>
      </c>
      <c r="AS87" s="160" t="e">
        <f t="shared" ca="1" si="4"/>
        <v>#VALUE!</v>
      </c>
    </row>
    <row r="88" spans="27:45" x14ac:dyDescent="0.3">
      <c r="AA88" s="160" t="e">
        <f ca="1">Ануїтетна_графік_Авто!G89</f>
        <v>#VALUE!</v>
      </c>
      <c r="AB88" s="160">
        <f t="shared" si="5"/>
        <v>85</v>
      </c>
      <c r="AD88" s="160" t="e">
        <f ca="1">Ануїтетна_графік_Авто!J89</f>
        <v>#VALUE!</v>
      </c>
      <c r="AF88" s="160" t="e">
        <f ca="1">Ануїтетна_графік_Авто!K89</f>
        <v>#VALUE!</v>
      </c>
      <c r="AH88" s="160" t="e">
        <f ca="1">Ануїтетна_графік_Авто!M89</f>
        <v>#VALUE!</v>
      </c>
      <c r="AJ88" s="160">
        <f t="shared" ca="1" si="3"/>
        <v>48638</v>
      </c>
      <c r="AK88" s="160">
        <v>85</v>
      </c>
      <c r="AM88" s="160" t="e">
        <f ca="1">Ануїтетна_графік_Авто!J89</f>
        <v>#VALUE!</v>
      </c>
      <c r="AO88" s="160" t="e">
        <f ca="1">Ануїтетна_графік_Авто!K89</f>
        <v>#VALUE!</v>
      </c>
      <c r="AQ88" s="160" t="e">
        <f ca="1">Ануїтетна_графік_Авто!M89</f>
        <v>#VALUE!</v>
      </c>
      <c r="AS88" s="160" t="e">
        <f t="shared" ca="1" si="4"/>
        <v>#VALUE!</v>
      </c>
    </row>
    <row r="89" spans="27:45" x14ac:dyDescent="0.3">
      <c r="AA89" s="160" t="e">
        <f ca="1">Ануїтетна_графік_Авто!G90</f>
        <v>#VALUE!</v>
      </c>
      <c r="AB89" s="160">
        <f>AB88+1</f>
        <v>86</v>
      </c>
      <c r="AD89" s="160" t="e">
        <f ca="1">Ануїтетна_графік_Авто!J90</f>
        <v>#VALUE!</v>
      </c>
      <c r="AF89" s="160" t="e">
        <f ca="1">Ануїтетна_графік_Авто!K90</f>
        <v>#VALUE!</v>
      </c>
      <c r="AH89" s="160" t="e">
        <f ca="1">Ануїтетна_графік_Авто!M90</f>
        <v>#VALUE!</v>
      </c>
      <c r="AJ89" s="160">
        <f t="shared" ca="1" si="3"/>
        <v>48669</v>
      </c>
      <c r="AK89" s="160">
        <v>86</v>
      </c>
      <c r="AM89" s="160" t="e">
        <f ca="1">Ануїтетна_графік_Авто!J90</f>
        <v>#VALUE!</v>
      </c>
      <c r="AO89" s="160" t="e">
        <f ca="1">Ануїтетна_графік_Авто!K90</f>
        <v>#VALUE!</v>
      </c>
      <c r="AQ89" s="160" t="e">
        <f ca="1">Ануїтетна_графік_Авто!M90</f>
        <v>#VALUE!</v>
      </c>
      <c r="AS89" s="160" t="e">
        <f t="shared" ca="1" si="4"/>
        <v>#VALUE!</v>
      </c>
    </row>
    <row r="90" spans="27:45" x14ac:dyDescent="0.3">
      <c r="AB90" s="160" t="s">
        <v>283</v>
      </c>
      <c r="AD90" s="160" t="e">
        <f ca="1">Ануїтетна_графік_Авто!J91</f>
        <v>#VALUE!</v>
      </c>
      <c r="AF90" s="160" t="e">
        <f ca="1">Ануїтетна_графік_Авто!K91</f>
        <v>#VALUE!</v>
      </c>
      <c r="AH90" s="160" t="e">
        <f ca="1">Ануїтетна_графік_Авто!M91</f>
        <v>#VALUE!</v>
      </c>
      <c r="AK90" s="160" t="s">
        <v>283</v>
      </c>
      <c r="AM90" s="160" t="e">
        <f ca="1">Ануїтетна_графік_Авто!J91</f>
        <v>#VALUE!</v>
      </c>
      <c r="AO90" s="160" t="e">
        <f ca="1">Ануїтетна_графік_Авто!K91</f>
        <v>#VALUE!</v>
      </c>
      <c r="AQ90" s="160"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88</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88</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205740</xdr:colOff>
                    <xdr:row>18</xdr:row>
                    <xdr:rowOff>68580</xdr:rowOff>
                  </from>
                  <to>
                    <xdr:col>88</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7734375" defaultRowHeight="14.4" x14ac:dyDescent="0.3"/>
  <cols>
    <col min="1" max="2" width="8.77734375" style="160" hidden="1" customWidth="1"/>
    <col min="3" max="3" width="13.21875" style="160" hidden="1" customWidth="1"/>
    <col min="4" max="4" width="12.44140625" style="160" hidden="1" customWidth="1"/>
    <col min="5" max="9" width="8.77734375" style="160" hidden="1" customWidth="1"/>
    <col min="10" max="19" width="8.77734375" style="186" hidden="1" customWidth="1"/>
    <col min="20" max="56" width="8.77734375" style="160" hidden="1" customWidth="1"/>
    <col min="57" max="70" width="8.77734375" style="160" customWidth="1"/>
    <col min="71" max="16384" width="8.77734375" style="160"/>
  </cols>
  <sheetData>
    <row r="1" spans="1:6" x14ac:dyDescent="0.3">
      <c r="A1" s="160">
        <v>2</v>
      </c>
      <c r="B1" s="158"/>
      <c r="C1" s="159"/>
      <c r="D1" s="159"/>
    </row>
    <row r="2" spans="1:6" x14ac:dyDescent="0.3">
      <c r="B2" s="161" t="s">
        <v>311</v>
      </c>
      <c r="C2" s="162">
        <f>Калькулятор!G4</f>
        <v>2550000</v>
      </c>
      <c r="D2" s="162"/>
      <c r="E2" s="160" t="s">
        <v>312</v>
      </c>
      <c r="F2" s="160" t="e">
        <f ca="1">Ануїтетна_графік_Авто!Y11</f>
        <v>#VALUE!</v>
      </c>
    </row>
    <row r="3" spans="1:6" x14ac:dyDescent="0.3">
      <c r="C3" s="163"/>
      <c r="D3" s="163"/>
    </row>
    <row r="4" spans="1:6" x14ac:dyDescent="0.3">
      <c r="B4" s="160" t="s">
        <v>313</v>
      </c>
      <c r="C4" s="163">
        <f>C2/6*5</f>
        <v>2125000</v>
      </c>
      <c r="D4" s="163"/>
      <c r="E4" s="160" t="s">
        <v>314</v>
      </c>
      <c r="F4" s="160" t="e">
        <f ca="1">Ануїтетна_графік_Авто!Y10</f>
        <v>#VALUE!</v>
      </c>
    </row>
    <row r="5" spans="1:6" x14ac:dyDescent="0.3">
      <c r="C5" s="163"/>
      <c r="D5" s="163"/>
    </row>
    <row r="6" spans="1:6" x14ac:dyDescent="0.3">
      <c r="B6" s="160" t="s">
        <v>315</v>
      </c>
      <c r="C6" s="163">
        <v>0.3</v>
      </c>
      <c r="D6" s="163"/>
      <c r="E6" s="160" t="s">
        <v>172</v>
      </c>
      <c r="F6" s="160">
        <f>C2-(C2*C6)</f>
        <v>1785000</v>
      </c>
    </row>
    <row r="7" spans="1:6" x14ac:dyDescent="0.3">
      <c r="C7" s="163"/>
      <c r="D7" s="163"/>
    </row>
    <row r="8" spans="1:6" x14ac:dyDescent="0.3">
      <c r="B8" s="160" t="s">
        <v>316</v>
      </c>
      <c r="C8" s="163">
        <v>12</v>
      </c>
      <c r="D8" s="163"/>
      <c r="E8" s="160" t="s">
        <v>317</v>
      </c>
      <c r="F8" s="160">
        <f>Ануїтетна_графік_Авто!C32</f>
        <v>33005</v>
      </c>
    </row>
    <row r="9" spans="1:6" x14ac:dyDescent="0.3">
      <c r="C9" s="163"/>
      <c r="D9" s="163"/>
    </row>
    <row r="10" spans="1:6" x14ac:dyDescent="0.3">
      <c r="B10" s="160" t="s">
        <v>318</v>
      </c>
      <c r="C10" s="163">
        <v>5.4899999999999997E-2</v>
      </c>
      <c r="D10" s="163"/>
      <c r="E10" s="160" t="s">
        <v>319</v>
      </c>
      <c r="F10" s="160" t="e">
        <f ca="1">Ануїтетна_графік_Авто!Y3</f>
        <v>#VALUE!</v>
      </c>
    </row>
    <row r="12" spans="1:6" x14ac:dyDescent="0.3">
      <c r="B12" s="161" t="s">
        <v>320</v>
      </c>
      <c r="C12" s="161">
        <v>9.99</v>
      </c>
      <c r="E12" s="160" t="s">
        <v>209</v>
      </c>
      <c r="F12" s="160" t="e">
        <f ca="1">Ануїтетна_графік_Авто!Y2</f>
        <v>#VALUE!</v>
      </c>
    </row>
    <row r="13" spans="1:6" x14ac:dyDescent="0.3">
      <c r="C13" s="163"/>
    </row>
    <row r="14" spans="1:6" x14ac:dyDescent="0.3">
      <c r="B14" s="160" t="s">
        <v>321</v>
      </c>
      <c r="C14" s="163">
        <v>9.9000000000000008E-3</v>
      </c>
      <c r="F14" s="160">
        <v>3875282.8858883367</v>
      </c>
    </row>
    <row r="15" spans="1:6" x14ac:dyDescent="0.3">
      <c r="C15" s="163"/>
    </row>
    <row r="16" spans="1:6" x14ac:dyDescent="0.3">
      <c r="B16" s="160" t="s">
        <v>322</v>
      </c>
      <c r="C16" s="163">
        <v>0</v>
      </c>
      <c r="F16" s="160">
        <v>4256502.5480896216</v>
      </c>
    </row>
    <row r="17" spans="2:3" x14ac:dyDescent="0.3">
      <c r="C17" s="163"/>
    </row>
    <row r="18" spans="2:3" x14ac:dyDescent="0.3">
      <c r="B18" s="160" t="s">
        <v>323</v>
      </c>
      <c r="C18" s="160">
        <f>IF(C4&lt;=499620,C4*3%,IF(C4&lt;=878120,C4*4%,C4*5%))</f>
        <v>106250</v>
      </c>
    </row>
    <row r="20" spans="2:3" x14ac:dyDescent="0.3">
      <c r="B20" s="160" t="s">
        <v>324</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53340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3" width="0" style="160" hidden="1" customWidth="1"/>
    <col min="64" max="16384" width="8.77734375" style="160"/>
  </cols>
  <sheetData>
    <row r="1" spans="1:4" x14ac:dyDescent="0.3">
      <c r="B1" s="158"/>
      <c r="C1" s="159"/>
      <c r="D1" s="159"/>
    </row>
    <row r="2" spans="1:4" x14ac:dyDescent="0.3">
      <c r="B2" s="161" t="s">
        <v>25</v>
      </c>
      <c r="C2" s="162"/>
      <c r="D2" s="162"/>
    </row>
    <row r="3" spans="1:4" x14ac:dyDescent="0.3">
      <c r="B3" s="160" t="s">
        <v>27</v>
      </c>
      <c r="C3" s="163"/>
      <c r="D3" s="163"/>
    </row>
    <row r="4" spans="1:4" x14ac:dyDescent="0.3">
      <c r="B4" s="160" t="s">
        <v>30</v>
      </c>
      <c r="C4" s="163"/>
      <c r="D4" s="163"/>
    </row>
    <row r="5" spans="1:4" x14ac:dyDescent="0.3">
      <c r="C5" s="163"/>
      <c r="D5" s="163"/>
    </row>
    <row r="6" spans="1:4" x14ac:dyDescent="0.3">
      <c r="C6" s="163"/>
      <c r="D6" s="163"/>
    </row>
    <row r="7" spans="1:4" x14ac:dyDescent="0.3">
      <c r="C7" s="163"/>
      <c r="D7" s="163"/>
    </row>
    <row r="8" spans="1:4" x14ac:dyDescent="0.3">
      <c r="B8" s="160" t="s">
        <v>325</v>
      </c>
      <c r="C8" s="163"/>
      <c r="D8" s="163"/>
    </row>
    <row r="9" spans="1:4" x14ac:dyDescent="0.3">
      <c r="B9" s="160" t="s">
        <v>326</v>
      </c>
      <c r="C9" s="163"/>
      <c r="D9" s="163"/>
    </row>
    <row r="10" spans="1:4" x14ac:dyDescent="0.3">
      <c r="C10" s="163"/>
      <c r="D10" s="163"/>
    </row>
    <row r="11" spans="1:4" x14ac:dyDescent="0.3">
      <c r="C11" s="160" t="s">
        <v>327</v>
      </c>
      <c r="D11" s="160" t="s">
        <v>328</v>
      </c>
    </row>
    <row r="12" spans="1:4" x14ac:dyDescent="0.3">
      <c r="A12" s="160" t="s">
        <v>44</v>
      </c>
      <c r="B12" s="161" t="s">
        <v>45</v>
      </c>
      <c r="C12" s="161"/>
    </row>
    <row r="13" spans="1:4" x14ac:dyDescent="0.3">
      <c r="B13" s="160" t="s">
        <v>46</v>
      </c>
      <c r="C13" s="163"/>
    </row>
    <row r="14" spans="1:4" x14ac:dyDescent="0.3">
      <c r="B14" s="160" t="s">
        <v>47</v>
      </c>
      <c r="C14" s="163"/>
    </row>
    <row r="15" spans="1:4" x14ac:dyDescent="0.3">
      <c r="B15" s="160" t="s">
        <v>48</v>
      </c>
      <c r="C15" s="163"/>
    </row>
    <row r="16" spans="1:4" x14ac:dyDescent="0.3">
      <c r="C16" s="163"/>
    </row>
    <row r="17" spans="1:3" x14ac:dyDescent="0.3">
      <c r="A17" s="160" t="s">
        <v>49</v>
      </c>
      <c r="B17" s="160" t="s">
        <v>50</v>
      </c>
      <c r="C17" s="163"/>
    </row>
    <row r="19" spans="1:3" x14ac:dyDescent="0.3">
      <c r="A19" s="160" t="s">
        <v>51</v>
      </c>
      <c r="B19" s="160" t="s">
        <v>52</v>
      </c>
    </row>
    <row r="20" spans="1:3" x14ac:dyDescent="0.3">
      <c r="B20" s="160" t="s">
        <v>53</v>
      </c>
    </row>
    <row r="21" spans="1:3" x14ac:dyDescent="0.3">
      <c r="B21" s="160" t="s">
        <v>54</v>
      </c>
    </row>
    <row r="22" spans="1:3" x14ac:dyDescent="0.3">
      <c r="B22" s="160" t="s">
        <v>55</v>
      </c>
    </row>
    <row r="24" spans="1:3" x14ac:dyDescent="0.3">
      <c r="A24" s="160" t="s">
        <v>56</v>
      </c>
      <c r="B24" s="160" t="s">
        <v>57</v>
      </c>
    </row>
    <row r="25" spans="1:3" x14ac:dyDescent="0.3">
      <c r="B25" s="160" t="s">
        <v>58</v>
      </c>
    </row>
    <row r="27" spans="1:3" x14ac:dyDescent="0.3">
      <c r="A27" s="160" t="s">
        <v>59</v>
      </c>
      <c r="B27" s="160" t="s">
        <v>60</v>
      </c>
    </row>
    <row r="28" spans="1:3" x14ac:dyDescent="0.3">
      <c r="B28" s="160" t="s">
        <v>61</v>
      </c>
    </row>
    <row r="30" spans="1:3" x14ac:dyDescent="0.3">
      <c r="A30" s="160" t="s">
        <v>62</v>
      </c>
      <c r="B30" s="160" t="s">
        <v>63</v>
      </c>
    </row>
    <row r="31" spans="1:3" x14ac:dyDescent="0.3">
      <c r="B31" s="160" t="s">
        <v>64</v>
      </c>
    </row>
    <row r="33" spans="1:3" x14ac:dyDescent="0.3">
      <c r="A33" s="160" t="s">
        <v>65</v>
      </c>
      <c r="B33" s="160" t="s">
        <v>66</v>
      </c>
    </row>
    <row r="34" spans="1:3" x14ac:dyDescent="0.3">
      <c r="B34" s="160" t="s">
        <v>67</v>
      </c>
    </row>
    <row r="39" spans="1:3" x14ac:dyDescent="0.3">
      <c r="A39" s="160" t="s">
        <v>71</v>
      </c>
      <c r="B39" s="160" t="s">
        <v>72</v>
      </c>
      <c r="C39" s="160">
        <f>'Платоспроможність боржника'!C63</f>
        <v>0</v>
      </c>
    </row>
    <row r="40" spans="1:3" x14ac:dyDescent="0.3">
      <c r="B40" s="160" t="s">
        <v>73</v>
      </c>
      <c r="C40" s="160">
        <f>'Платоспроможність боржника'!C64</f>
        <v>0</v>
      </c>
    </row>
    <row r="41" spans="1:3" x14ac:dyDescent="0.3">
      <c r="B41" s="160" t="s">
        <v>74</v>
      </c>
      <c r="C41" s="160">
        <f>'Платоспроможність боржника'!C65</f>
        <v>0</v>
      </c>
    </row>
    <row r="42" spans="1:3" x14ac:dyDescent="0.3">
      <c r="B42" s="160" t="s">
        <v>75</v>
      </c>
      <c r="C42" s="160">
        <f>'Платоспроможність боржника'!C66</f>
        <v>0</v>
      </c>
    </row>
    <row r="51" spans="1:4" x14ac:dyDescent="0.3">
      <c r="B51" s="160" t="s">
        <v>78</v>
      </c>
    </row>
    <row r="52" spans="1:4" x14ac:dyDescent="0.3">
      <c r="B52" s="160" t="s">
        <v>80</v>
      </c>
      <c r="C52" s="160">
        <f>'Платоспроможність боржника'!C76</f>
        <v>2.3263066802027738E-2</v>
      </c>
      <c r="D52" s="160" t="s">
        <v>329</v>
      </c>
    </row>
    <row r="53" spans="1:4" x14ac:dyDescent="0.3">
      <c r="B53" s="160" t="s">
        <v>82</v>
      </c>
      <c r="C53" s="160">
        <f>'Платоспроможність боржника'!C77</f>
        <v>2.8713611111111113E-2</v>
      </c>
      <c r="D53" s="160" t="s">
        <v>330</v>
      </c>
    </row>
    <row r="54" spans="1:4" x14ac:dyDescent="0.3">
      <c r="B54" s="160" t="s">
        <v>84</v>
      </c>
      <c r="C54" s="160">
        <f>'Платоспроможність боржника'!C78</f>
        <v>2.3263066802027738E-2</v>
      </c>
    </row>
    <row r="56" spans="1:4" x14ac:dyDescent="0.3">
      <c r="A56" s="160" t="s">
        <v>86</v>
      </c>
      <c r="B56" s="160" t="s">
        <v>87</v>
      </c>
      <c r="C56" s="160">
        <f>'Платоспроможність боржника'!$H$91</f>
        <v>4000000</v>
      </c>
    </row>
    <row r="57" spans="1:4" x14ac:dyDescent="0.3">
      <c r="B57" s="160" t="s">
        <v>89</v>
      </c>
      <c r="C57" s="160">
        <f>C8+C9</f>
        <v>0</v>
      </c>
    </row>
    <row r="58" spans="1:4" x14ac:dyDescent="0.3">
      <c r="B58" s="160" t="s">
        <v>86</v>
      </c>
      <c r="C58" s="160">
        <f>MAX(C56-C57,0)</f>
        <v>4000000</v>
      </c>
    </row>
    <row r="60" spans="1:4" x14ac:dyDescent="0.3">
      <c r="A60" s="160" t="s">
        <v>93</v>
      </c>
      <c r="B60" s="160" t="s">
        <v>94</v>
      </c>
      <c r="C60" s="160" t="s">
        <v>327</v>
      </c>
      <c r="D60" s="160" t="s">
        <v>328</v>
      </c>
    </row>
    <row r="61" spans="1:4" x14ac:dyDescent="0.3">
      <c r="B61" s="160" t="s">
        <v>96</v>
      </c>
      <c r="C61" s="160">
        <f>IFERROR(VLOOKUP(C19,'коефіцієнт витрат'!B2:C6,2,),70%)</f>
        <v>0.7</v>
      </c>
      <c r="D61" s="160">
        <f>IFERROR(VLOOKUP(D19,'коефіцієнт витрат'!B2:C6,2,),70%)</f>
        <v>0.7</v>
      </c>
    </row>
    <row r="62" spans="1:4" x14ac:dyDescent="0.3">
      <c r="B62" s="160" t="s">
        <v>98</v>
      </c>
      <c r="C62" s="160">
        <f>IF(C12="Чистий дохід за мінусом податків",1,0.805)*C13-C14</f>
        <v>0</v>
      </c>
      <c r="D62" s="160">
        <f>IF(D12="Чистий дохід за мінусом податків",1,0.805)*D13-D14</f>
        <v>0</v>
      </c>
    </row>
    <row r="63" spans="1:4" x14ac:dyDescent="0.3">
      <c r="B63" s="160" t="s">
        <v>100</v>
      </c>
      <c r="C63" s="160">
        <f>C17</f>
        <v>0</v>
      </c>
      <c r="D63" s="160">
        <f>D17</f>
        <v>0</v>
      </c>
    </row>
    <row r="64" spans="1:4" x14ac:dyDescent="0.3">
      <c r="B64" s="160" t="s">
        <v>102</v>
      </c>
      <c r="C64" s="160">
        <f>(C20-C21)-MAX(C61*(C20-C21),C22)</f>
        <v>0</v>
      </c>
      <c r="D64" s="160">
        <f>(D20-D21)-MAX(D61*(D20-D21),D22)</f>
        <v>0</v>
      </c>
    </row>
    <row r="65" spans="1:4" x14ac:dyDescent="0.3">
      <c r="B65" s="160" t="s">
        <v>105</v>
      </c>
      <c r="C65" s="160">
        <f>C24</f>
        <v>0</v>
      </c>
      <c r="D65" s="160">
        <f>D24</f>
        <v>0</v>
      </c>
    </row>
    <row r="66" spans="1:4" x14ac:dyDescent="0.3">
      <c r="B66" s="160" t="s">
        <v>107</v>
      </c>
      <c r="C66" s="160">
        <f>C27-C28</f>
        <v>0</v>
      </c>
      <c r="D66" s="160">
        <f>D27-D28</f>
        <v>0</v>
      </c>
    </row>
    <row r="67" spans="1:4" x14ac:dyDescent="0.3">
      <c r="B67" s="160" t="s">
        <v>109</v>
      </c>
      <c r="C67" s="160">
        <f>(C30-C31)</f>
        <v>0</v>
      </c>
      <c r="D67" s="160">
        <f>(D30-D31)</f>
        <v>0</v>
      </c>
    </row>
    <row r="68" spans="1:4" x14ac:dyDescent="0.3">
      <c r="B68" s="160" t="s">
        <v>331</v>
      </c>
      <c r="C68" s="160">
        <f>SUM(C62:C67)</f>
        <v>0</v>
      </c>
      <c r="D68" s="160">
        <f>SUM(D62:D67)</f>
        <v>0</v>
      </c>
    </row>
    <row r="69" spans="1:4" x14ac:dyDescent="0.3">
      <c r="B69" s="160" t="s">
        <v>112</v>
      </c>
      <c r="C69" s="160">
        <f>C68+D68</f>
        <v>0</v>
      </c>
    </row>
    <row r="71" spans="1:4" x14ac:dyDescent="0.3">
      <c r="A71" s="160" t="s">
        <v>113</v>
      </c>
      <c r="B71" s="160" t="s">
        <v>90</v>
      </c>
      <c r="C71" s="160">
        <f>'Платоспроможність боржника'!H82</f>
        <v>30</v>
      </c>
    </row>
    <row r="72" spans="1:4" x14ac:dyDescent="0.3">
      <c r="B72" s="160" t="s">
        <v>114</v>
      </c>
      <c r="C72" s="160">
        <f>IF('Платоспроможність боржника'!C3&lt;&gt;"",'Платоспроможність боржника'!C4/'Платоспроможність боржника'!C3*100,0)</f>
        <v>70</v>
      </c>
    </row>
    <row r="73" spans="1:4" x14ac:dyDescent="0.3">
      <c r="B73" s="160" t="s">
        <v>113</v>
      </c>
      <c r="C73" s="160">
        <f>'Платоспроможність боржника'!C97</f>
        <v>103960.00000000003</v>
      </c>
    </row>
    <row r="75" spans="1:4" x14ac:dyDescent="0.3">
      <c r="A75" s="160" t="s">
        <v>115</v>
      </c>
      <c r="B75" s="160" t="s">
        <v>92</v>
      </c>
      <c r="C75" s="160">
        <f>'Платоспроможність боржника'!H83</f>
        <v>0.65</v>
      </c>
    </row>
    <row r="76" spans="1:4" x14ac:dyDescent="0.3">
      <c r="B76" s="160" t="s">
        <v>116</v>
      </c>
      <c r="C76" s="160">
        <f>C33+D33+E33+C34+D34+E34</f>
        <v>0</v>
      </c>
    </row>
    <row r="77" spans="1:4" x14ac:dyDescent="0.3">
      <c r="B77" s="160" t="s">
        <v>115</v>
      </c>
      <c r="C77" s="160">
        <f>IF(C54&lt;&gt;0,(C75*C69-C76)/C54,0)</f>
        <v>0</v>
      </c>
    </row>
    <row r="79" spans="1:4" x14ac:dyDescent="0.3">
      <c r="A79" s="160" t="s">
        <v>117</v>
      </c>
      <c r="B79" s="160" t="s">
        <v>95</v>
      </c>
      <c r="C79" s="160">
        <f>'Платоспроможність боржника'!H84</f>
        <v>1</v>
      </c>
    </row>
    <row r="80" spans="1:4" x14ac:dyDescent="0.3">
      <c r="B80" s="160" t="s">
        <v>97</v>
      </c>
      <c r="C80" s="160">
        <f>'Платоспроможність боржника'!H85</f>
        <v>1.266</v>
      </c>
    </row>
    <row r="81" spans="1:3" x14ac:dyDescent="0.3">
      <c r="B81" s="160" t="s">
        <v>99</v>
      </c>
      <c r="C81" s="160">
        <f>'Платоспроможність боржника'!H86</f>
        <v>1420.07</v>
      </c>
    </row>
    <row r="83" spans="1:3" x14ac:dyDescent="0.3">
      <c r="B83" s="160" t="s">
        <v>118</v>
      </c>
      <c r="C83" s="160">
        <f>IF(C87&lt;=4,VLOOKUP(C87,'Таблиця МП_БВС'!H:I,2,),IF(C87&gt;4,'Таблиця МП_БВС'!$I$7+(C87-4)*C81,0))</f>
        <v>5120.17</v>
      </c>
    </row>
    <row r="84" spans="1:3" x14ac:dyDescent="0.3">
      <c r="B84" s="160" t="s">
        <v>119</v>
      </c>
      <c r="C84" s="160">
        <f>IFERROR(VLOOKUP(C3,'Таблиця МП_БВС'!$B:$E,4,),1.33)</f>
        <v>1.33</v>
      </c>
    </row>
    <row r="85" spans="1:3" x14ac:dyDescent="0.3">
      <c r="B85" s="160" t="s">
        <v>120</v>
      </c>
      <c r="C85" s="160">
        <f>IFERROR(VLOOKUP(C4,'Таблиця МП_БВС'!$B:$E,4,),1.33)</f>
        <v>1.33</v>
      </c>
    </row>
    <row r="86" spans="1:3" x14ac:dyDescent="0.3">
      <c r="B86" s="160" t="s">
        <v>122</v>
      </c>
      <c r="C86" s="160">
        <f>MAX(C84,C85)</f>
        <v>1.33</v>
      </c>
    </row>
    <row r="87" spans="1:3" x14ac:dyDescent="0.3">
      <c r="B87" s="160" t="s">
        <v>123</v>
      </c>
      <c r="C87" s="160">
        <f>1+IF(OR(H1="одружений(на)",H1="не зареєстрований шлюб"),1,0)+H2</f>
        <v>1</v>
      </c>
    </row>
    <row r="88" spans="1:3" x14ac:dyDescent="0.3">
      <c r="B88" s="160" t="s">
        <v>124</v>
      </c>
      <c r="C88" s="160">
        <f>MAX(C2,C83*C86*$C$80)</f>
        <v>8621.2398426</v>
      </c>
    </row>
    <row r="89" spans="1:3" x14ac:dyDescent="0.3">
      <c r="B89" s="160" t="s">
        <v>117</v>
      </c>
      <c r="C89" s="160">
        <f>IF(C54&lt;&gt;0,(C79*C69-C76-C88)/C54,0)</f>
        <v>-370597.73399475106</v>
      </c>
    </row>
    <row r="91" spans="1:3" x14ac:dyDescent="0.3">
      <c r="A91" s="160" t="s">
        <v>125</v>
      </c>
      <c r="B91" s="160" t="s">
        <v>94</v>
      </c>
    </row>
    <row r="93" spans="1:3" x14ac:dyDescent="0.3">
      <c r="A93" s="160" t="s">
        <v>126</v>
      </c>
      <c r="B93" s="160" t="s">
        <v>101</v>
      </c>
      <c r="C93" s="160">
        <f>'Платоспроможність боржника'!H87</f>
        <v>4000000</v>
      </c>
    </row>
    <row r="94" spans="1:3" x14ac:dyDescent="0.3">
      <c r="B94" s="160" t="s">
        <v>127</v>
      </c>
      <c r="C94" s="160">
        <f>C39+C40+C41+C42</f>
        <v>0</v>
      </c>
    </row>
    <row r="95" spans="1:3" x14ac:dyDescent="0.3">
      <c r="B95" s="160" t="s">
        <v>126</v>
      </c>
      <c r="C95" s="160">
        <f>C93-C94</f>
        <v>4000000</v>
      </c>
    </row>
    <row r="97" spans="1:3" x14ac:dyDescent="0.3">
      <c r="A97" s="160" t="s">
        <v>128</v>
      </c>
      <c r="B97" s="160" t="s">
        <v>87</v>
      </c>
      <c r="C97" s="160">
        <f>'Платоспроможність боржника'!$H$91</f>
        <v>4000000</v>
      </c>
    </row>
    <row r="99" spans="1:3" x14ac:dyDescent="0.3">
      <c r="B99" s="160" t="s">
        <v>128</v>
      </c>
      <c r="C99" s="160">
        <f>IF(C98+'Платоспроможність боржника'!H5*31&lt;=C97,C56,0)</f>
        <v>4000000</v>
      </c>
    </row>
    <row r="101" spans="1:3" x14ac:dyDescent="0.3">
      <c r="A101" s="160" t="s">
        <v>129</v>
      </c>
      <c r="B101" s="160" t="s">
        <v>129</v>
      </c>
      <c r="C101" s="160">
        <f>'Платоспроможність боржника'!C126</f>
        <v>100000.00000000003</v>
      </c>
    </row>
    <row r="103" spans="1:3" x14ac:dyDescent="0.3">
      <c r="A103" s="160" t="s">
        <v>130</v>
      </c>
      <c r="B103" s="160" t="s">
        <v>94</v>
      </c>
    </row>
    <row r="104" spans="1:3" x14ac:dyDescent="0.3">
      <c r="A104" s="160" t="s">
        <v>131</v>
      </c>
      <c r="B104" s="160" t="s">
        <v>94</v>
      </c>
    </row>
    <row r="105" spans="1:3" x14ac:dyDescent="0.3">
      <c r="A105" s="160" t="s">
        <v>132</v>
      </c>
      <c r="B105" s="160" t="s">
        <v>94</v>
      </c>
    </row>
    <row r="107" spans="1:3" x14ac:dyDescent="0.3">
      <c r="A107" s="160" t="s">
        <v>133</v>
      </c>
      <c r="B107" s="160" t="s">
        <v>103</v>
      </c>
      <c r="C107" s="160">
        <f>'Платоспроможність боржника'!H88</f>
        <v>0.5</v>
      </c>
    </row>
    <row r="108" spans="1:3" x14ac:dyDescent="0.3">
      <c r="B108" s="160" t="s">
        <v>133</v>
      </c>
      <c r="C108" s="160">
        <f>IF('Платоспроможність боржника'!C5&gt;0,C107*'Платоспроможність боржника'!C5,0)</f>
        <v>2500000</v>
      </c>
    </row>
    <row r="110" spans="1:3" x14ac:dyDescent="0.3">
      <c r="B110" s="160" t="s">
        <v>134</v>
      </c>
      <c r="C110" s="160">
        <f>ROUNDDOWN(MAX(MIN(C58,C73,C77,C89,C95,C99,C101,C108),0)*'Платоспроможність боржника'!H89,-2)</f>
        <v>0</v>
      </c>
    </row>
    <row r="112" spans="1:3" x14ac:dyDescent="0.3">
      <c r="B112" s="160" t="s">
        <v>332</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58" width="0" style="160" hidden="1" customWidth="1"/>
    <col min="59" max="16384" width="8.77734375" style="160"/>
  </cols>
  <sheetData>
    <row r="1" spans="2:4" x14ac:dyDescent="0.3">
      <c r="B1" s="158"/>
      <c r="C1" s="159" t="s">
        <v>21</v>
      </c>
      <c r="D1" s="159" t="s">
        <v>327</v>
      </c>
    </row>
    <row r="2" spans="2:4" x14ac:dyDescent="0.3">
      <c r="B2" s="161" t="s">
        <v>333</v>
      </c>
      <c r="C2" s="162">
        <f>'Платоспроможність боржника'!C135</f>
        <v>100000</v>
      </c>
      <c r="D2" s="162">
        <f>'Платоспроможність поручителя'!C110</f>
        <v>0</v>
      </c>
    </row>
    <row r="3" spans="2:4" x14ac:dyDescent="0.3">
      <c r="B3" s="160" t="s">
        <v>86</v>
      </c>
      <c r="C3" s="163">
        <f>'Платоспроможність боржника'!C82</f>
        <v>4000000</v>
      </c>
      <c r="D3" s="163">
        <f>'Платоспроможність поручителя'!C58</f>
        <v>4000000</v>
      </c>
    </row>
    <row r="4" spans="2:4" x14ac:dyDescent="0.3">
      <c r="B4" s="160" t="s">
        <v>113</v>
      </c>
      <c r="C4" s="163">
        <f>'Платоспроможність боржника'!C97</f>
        <v>103960.00000000003</v>
      </c>
      <c r="D4" s="163">
        <f>'Платоспроможність поручителя'!C73</f>
        <v>103960.00000000003</v>
      </c>
    </row>
    <row r="5" spans="2:4" x14ac:dyDescent="0.3">
      <c r="B5" s="160" t="s">
        <v>115</v>
      </c>
      <c r="C5" s="163">
        <f>'Платоспроможність боржника'!C101</f>
        <v>44985470.269499518</v>
      </c>
      <c r="D5" s="163">
        <f>'Платоспроможність поручителя'!C77</f>
        <v>0</v>
      </c>
    </row>
    <row r="6" spans="2:4" x14ac:dyDescent="0.3">
      <c r="B6" s="160" t="s">
        <v>117</v>
      </c>
      <c r="C6" s="163">
        <f>'Платоспроможність боржника'!C114</f>
        <v>68837818.065235272</v>
      </c>
      <c r="D6" s="163">
        <f>'Платоспроможність поручителя'!C89</f>
        <v>-370597.73399475106</v>
      </c>
    </row>
    <row r="7" spans="2:4" x14ac:dyDescent="0.3">
      <c r="B7" s="160" t="s">
        <v>126</v>
      </c>
      <c r="C7" s="163">
        <f>'Платоспроможність боржника'!C120</f>
        <v>4000000</v>
      </c>
      <c r="D7" s="163">
        <f>'Платоспроможність поручителя'!C95</f>
        <v>4000000</v>
      </c>
    </row>
    <row r="8" spans="2:4" x14ac:dyDescent="0.3">
      <c r="B8" s="160" t="s">
        <v>128</v>
      </c>
      <c r="C8" s="163">
        <f>'Платоспроможність боржника'!C124</f>
        <v>4000000</v>
      </c>
      <c r="D8" s="163">
        <f>'Платоспроможність поручителя'!C99</f>
        <v>4000000</v>
      </c>
    </row>
    <row r="9" spans="2:4" x14ac:dyDescent="0.3">
      <c r="B9" s="160" t="s">
        <v>129</v>
      </c>
      <c r="C9" s="163">
        <f>'Платоспроможність боржника'!C126</f>
        <v>100000.00000000003</v>
      </c>
      <c r="D9" s="163">
        <f>'Платоспроможність поручителя'!C101</f>
        <v>100000.00000000003</v>
      </c>
    </row>
    <row r="10" spans="2:4" x14ac:dyDescent="0.3">
      <c r="B10" s="160" t="s">
        <v>133</v>
      </c>
      <c r="C10" s="163">
        <f>'Платоспроможність боржника'!C133</f>
        <v>2500000</v>
      </c>
      <c r="D10" s="163">
        <f>'Платоспроможність поручителя'!C108</f>
        <v>2500000</v>
      </c>
    </row>
    <row r="12" spans="2:4" x14ac:dyDescent="0.3">
      <c r="B12" s="161" t="s">
        <v>170</v>
      </c>
      <c r="C12" s="161">
        <f ca="1">'Платоспроможність боржника'!C174</f>
        <v>1</v>
      </c>
    </row>
    <row r="13" spans="2:4" x14ac:dyDescent="0.3">
      <c r="B13" s="160" t="s">
        <v>137</v>
      </c>
      <c r="C13" s="163">
        <f>'Платоспроможність боржника'!C139</f>
        <v>33016.53</v>
      </c>
    </row>
    <row r="14" spans="2:4" x14ac:dyDescent="0.3">
      <c r="B14" s="160" t="s">
        <v>154</v>
      </c>
      <c r="C14" s="163">
        <f>'Платоспроможність боржника'!C141</f>
        <v>1601378.7601574</v>
      </c>
    </row>
    <row r="15" spans="2:4" x14ac:dyDescent="0.3">
      <c r="B15" s="160" t="s">
        <v>143</v>
      </c>
      <c r="C15" s="163">
        <f>'Платоспроможність боржника'!C142</f>
        <v>38.666816356547358</v>
      </c>
    </row>
    <row r="16" spans="2:4" x14ac:dyDescent="0.3">
      <c r="B16" s="160" t="s">
        <v>145</v>
      </c>
      <c r="C16" s="163">
        <f>'Платоспроможність боржника'!C143</f>
        <v>2.050716149068323E-2</v>
      </c>
    </row>
    <row r="17" spans="2:3" x14ac:dyDescent="0.3">
      <c r="B17" s="160" t="s">
        <v>147</v>
      </c>
      <c r="C17" s="163">
        <f>'Платоспроможність боржника'!C144</f>
        <v>2.0240938888888886E-2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57" width="0" style="160" hidden="1" customWidth="1"/>
    <col min="58" max="16384" width="8.77734375" style="160"/>
  </cols>
  <sheetData>
    <row r="1" spans="2:9" x14ac:dyDescent="0.3">
      <c r="B1" s="158"/>
      <c r="C1" s="159" t="s">
        <v>334</v>
      </c>
      <c r="D1" s="159"/>
      <c r="F1" s="160" t="s">
        <v>335</v>
      </c>
    </row>
    <row r="2" spans="2:9" x14ac:dyDescent="0.3">
      <c r="B2" s="161" t="s">
        <v>336</v>
      </c>
      <c r="C2" s="162">
        <v>0.7</v>
      </c>
      <c r="D2" s="162"/>
      <c r="F2" s="160" t="s">
        <v>337</v>
      </c>
    </row>
    <row r="3" spans="2:9" x14ac:dyDescent="0.3">
      <c r="B3" s="160" t="s">
        <v>338</v>
      </c>
      <c r="C3" s="163">
        <v>0.5</v>
      </c>
      <c r="D3" s="163"/>
      <c r="F3" s="160">
        <v>1</v>
      </c>
      <c r="G3" s="160" t="s">
        <v>339</v>
      </c>
      <c r="H3" s="160" t="s">
        <v>340</v>
      </c>
      <c r="I3" s="160">
        <v>1500</v>
      </c>
    </row>
    <row r="4" spans="2:9" x14ac:dyDescent="0.3">
      <c r="B4" s="160" t="s">
        <v>341</v>
      </c>
      <c r="C4" s="163">
        <v>0.6</v>
      </c>
      <c r="D4" s="163"/>
      <c r="H4" s="160" t="s">
        <v>342</v>
      </c>
      <c r="I4" s="160">
        <v>1400</v>
      </c>
    </row>
    <row r="5" spans="2:9" x14ac:dyDescent="0.3">
      <c r="B5" s="160" t="s">
        <v>343</v>
      </c>
      <c r="C5" s="163">
        <v>0.3</v>
      </c>
      <c r="D5" s="163"/>
      <c r="H5" s="160" t="s">
        <v>344</v>
      </c>
      <c r="I5" s="160">
        <v>1200</v>
      </c>
    </row>
    <row r="6" spans="2:9" x14ac:dyDescent="0.3">
      <c r="B6" s="160" t="s">
        <v>345</v>
      </c>
      <c r="C6" s="163">
        <v>0.4</v>
      </c>
      <c r="D6" s="163"/>
      <c r="H6" s="160" t="s">
        <v>346</v>
      </c>
      <c r="I6" s="160">
        <v>1000</v>
      </c>
    </row>
    <row r="7" spans="2:9" x14ac:dyDescent="0.3">
      <c r="B7" s="160" t="s">
        <v>347</v>
      </c>
      <c r="C7" s="163">
        <v>0.7</v>
      </c>
      <c r="D7" s="163"/>
      <c r="H7" s="160" t="s">
        <v>348</v>
      </c>
      <c r="I7" s="160">
        <v>600</v>
      </c>
    </row>
    <row r="8" spans="2:9" x14ac:dyDescent="0.3">
      <c r="C8" s="163"/>
      <c r="D8" s="163"/>
      <c r="H8" s="160" t="s">
        <v>349</v>
      </c>
      <c r="I8" s="160">
        <v>0</v>
      </c>
    </row>
    <row r="9" spans="2:9" x14ac:dyDescent="0.3">
      <c r="B9" s="160" t="s">
        <v>350</v>
      </c>
      <c r="C9" s="163"/>
      <c r="D9" s="163"/>
      <c r="F9" s="160">
        <v>2</v>
      </c>
      <c r="G9" s="160" t="s">
        <v>351</v>
      </c>
      <c r="H9" s="160" t="s">
        <v>352</v>
      </c>
      <c r="I9" s="160">
        <v>1250</v>
      </c>
    </row>
    <row r="10" spans="2:9" x14ac:dyDescent="0.3">
      <c r="B10" s="160" t="s">
        <v>353</v>
      </c>
      <c r="C10" s="163" t="s">
        <v>354</v>
      </c>
      <c r="D10" s="163"/>
      <c r="H10" s="160" t="s">
        <v>355</v>
      </c>
      <c r="I10" s="160">
        <v>1000</v>
      </c>
    </row>
    <row r="11" spans="2:9" x14ac:dyDescent="0.3">
      <c r="B11" s="160" t="s">
        <v>356</v>
      </c>
      <c r="C11" s="160">
        <v>1</v>
      </c>
      <c r="H11" s="160" t="s">
        <v>357</v>
      </c>
      <c r="I11" s="160">
        <v>750</v>
      </c>
    </row>
    <row r="12" spans="2:9" x14ac:dyDescent="0.3">
      <c r="B12" s="161" t="s">
        <v>358</v>
      </c>
      <c r="C12" s="161">
        <v>2</v>
      </c>
      <c r="H12" s="160" t="s">
        <v>359</v>
      </c>
      <c r="I12" s="160">
        <v>500</v>
      </c>
    </row>
    <row r="13" spans="2:9" x14ac:dyDescent="0.3">
      <c r="B13" s="160" t="s">
        <v>360</v>
      </c>
      <c r="C13" s="163">
        <v>3</v>
      </c>
      <c r="H13" s="160" t="s">
        <v>361</v>
      </c>
      <c r="I13" s="160">
        <v>250</v>
      </c>
    </row>
    <row r="14" spans="2:9" x14ac:dyDescent="0.3">
      <c r="B14" s="160" t="s">
        <v>362</v>
      </c>
      <c r="C14" s="163">
        <v>4</v>
      </c>
      <c r="H14" s="160" t="s">
        <v>363</v>
      </c>
      <c r="I14" s="160">
        <v>0</v>
      </c>
    </row>
    <row r="15" spans="2:9" x14ac:dyDescent="0.3">
      <c r="B15" s="160" t="s">
        <v>364</v>
      </c>
      <c r="C15" s="163">
        <v>5</v>
      </c>
      <c r="F15" s="160">
        <v>3</v>
      </c>
      <c r="G15" s="160" t="s">
        <v>365</v>
      </c>
      <c r="H15" s="160" t="s">
        <v>366</v>
      </c>
      <c r="I15" s="160">
        <v>1000</v>
      </c>
    </row>
    <row r="16" spans="2:9" x14ac:dyDescent="0.3">
      <c r="C16" s="163"/>
      <c r="H16" s="160" t="s">
        <v>367</v>
      </c>
      <c r="I16" s="160">
        <v>800</v>
      </c>
    </row>
    <row r="17" spans="2:9" x14ac:dyDescent="0.3">
      <c r="C17" s="163"/>
      <c r="H17" s="160" t="s">
        <v>368</v>
      </c>
      <c r="I17" s="160">
        <v>600</v>
      </c>
    </row>
    <row r="18" spans="2:9" x14ac:dyDescent="0.3">
      <c r="B18" s="160" t="s">
        <v>369</v>
      </c>
      <c r="H18" s="160" t="s">
        <v>370</v>
      </c>
      <c r="I18" s="160">
        <v>400</v>
      </c>
    </row>
    <row r="19" spans="2:9" x14ac:dyDescent="0.3">
      <c r="B19" s="160" t="s">
        <v>371</v>
      </c>
      <c r="C19" s="160" t="s">
        <v>372</v>
      </c>
      <c r="H19" s="160" t="s">
        <v>373</v>
      </c>
      <c r="I19" s="160">
        <v>200</v>
      </c>
    </row>
    <row r="20" spans="2:9" x14ac:dyDescent="0.3">
      <c r="B20" s="160" t="s">
        <v>374</v>
      </c>
      <c r="C20" s="160">
        <v>1</v>
      </c>
      <c r="F20" s="160">
        <v>4</v>
      </c>
      <c r="G20" s="160" t="s">
        <v>375</v>
      </c>
      <c r="H20" s="160" t="s">
        <v>376</v>
      </c>
      <c r="I20" s="160">
        <v>500</v>
      </c>
    </row>
    <row r="21" spans="2:9" x14ac:dyDescent="0.3">
      <c r="B21" s="160" t="s">
        <v>377</v>
      </c>
      <c r="C21" s="160">
        <v>2</v>
      </c>
      <c r="H21" s="160" t="s">
        <v>378</v>
      </c>
      <c r="I21" s="160">
        <v>0</v>
      </c>
    </row>
    <row r="22" spans="2:9" x14ac:dyDescent="0.3">
      <c r="B22" s="160" t="s">
        <v>379</v>
      </c>
      <c r="C22" s="160">
        <v>3</v>
      </c>
    </row>
    <row r="23" spans="2:9" x14ac:dyDescent="0.3">
      <c r="B23" s="160" t="s">
        <v>380</v>
      </c>
      <c r="C23" s="160">
        <v>4</v>
      </c>
      <c r="F23" s="160" t="s">
        <v>381</v>
      </c>
    </row>
    <row r="24" spans="2:9" x14ac:dyDescent="0.3">
      <c r="B24" s="160" t="s">
        <v>382</v>
      </c>
      <c r="C24" s="160">
        <v>5</v>
      </c>
      <c r="F24" s="160">
        <v>5</v>
      </c>
      <c r="G24" s="160" t="s">
        <v>156</v>
      </c>
      <c r="H24" s="160" t="s">
        <v>383</v>
      </c>
      <c r="I24" s="160">
        <v>84</v>
      </c>
    </row>
    <row r="25" spans="2:9" x14ac:dyDescent="0.3">
      <c r="H25" s="160" t="s">
        <v>384</v>
      </c>
      <c r="I25" s="160">
        <v>87</v>
      </c>
    </row>
    <row r="26" spans="2:9" x14ac:dyDescent="0.3">
      <c r="H26" s="160" t="s">
        <v>385</v>
      </c>
      <c r="I26" s="160">
        <v>92</v>
      </c>
    </row>
    <row r="27" spans="2:9" x14ac:dyDescent="0.3">
      <c r="B27" s="160" t="s">
        <v>386</v>
      </c>
      <c r="H27" s="160" t="s">
        <v>387</v>
      </c>
      <c r="I27" s="160">
        <v>98</v>
      </c>
    </row>
    <row r="28" spans="2:9" x14ac:dyDescent="0.3">
      <c r="B28" s="160" t="s">
        <v>388</v>
      </c>
      <c r="C28" s="160" t="s">
        <v>169</v>
      </c>
      <c r="F28" s="160">
        <v>6</v>
      </c>
      <c r="G28" s="160" t="s">
        <v>33</v>
      </c>
      <c r="H28" s="160" t="s">
        <v>389</v>
      </c>
      <c r="I28" s="160">
        <v>81</v>
      </c>
    </row>
    <row r="29" spans="2:9" x14ac:dyDescent="0.3">
      <c r="B29" s="160" t="s">
        <v>390</v>
      </c>
      <c r="C29" s="160">
        <v>1</v>
      </c>
      <c r="H29" s="160" t="s">
        <v>391</v>
      </c>
      <c r="I29" s="160">
        <v>90</v>
      </c>
    </row>
    <row r="30" spans="2:9" x14ac:dyDescent="0.3">
      <c r="B30" s="160" t="s">
        <v>392</v>
      </c>
      <c r="C30" s="160">
        <v>2</v>
      </c>
      <c r="H30" s="160" t="s">
        <v>393</v>
      </c>
      <c r="I30" s="160">
        <v>87</v>
      </c>
    </row>
    <row r="31" spans="2:9" x14ac:dyDescent="0.3">
      <c r="B31" s="160" t="s">
        <v>394</v>
      </c>
      <c r="C31" s="160">
        <v>3</v>
      </c>
      <c r="H31" s="160" t="s">
        <v>395</v>
      </c>
      <c r="I31" s="160">
        <v>94</v>
      </c>
    </row>
    <row r="32" spans="2:9" x14ac:dyDescent="0.3">
      <c r="B32" s="160" t="s">
        <v>396</v>
      </c>
      <c r="C32" s="160">
        <v>4</v>
      </c>
      <c r="F32" s="160">
        <v>7</v>
      </c>
      <c r="G32" s="160" t="s">
        <v>161</v>
      </c>
      <c r="H32" s="160" t="s">
        <v>397</v>
      </c>
      <c r="I32" s="160">
        <v>87</v>
      </c>
    </row>
    <row r="33" spans="2:9" x14ac:dyDescent="0.3">
      <c r="B33" s="160" t="s">
        <v>398</v>
      </c>
      <c r="C33" s="160">
        <v>5</v>
      </c>
      <c r="H33" s="160" t="s">
        <v>399</v>
      </c>
      <c r="I33" s="160">
        <v>88</v>
      </c>
    </row>
    <row r="34" spans="2:9" x14ac:dyDescent="0.3">
      <c r="H34" s="160" t="s">
        <v>400</v>
      </c>
      <c r="I34" s="160">
        <v>89</v>
      </c>
    </row>
    <row r="35" spans="2:9" x14ac:dyDescent="0.3">
      <c r="H35" s="160" t="s">
        <v>401</v>
      </c>
      <c r="I35" s="160">
        <v>92</v>
      </c>
    </row>
    <row r="36" spans="2:9" x14ac:dyDescent="0.3">
      <c r="H36" s="160" t="s">
        <v>402</v>
      </c>
      <c r="I36" s="160">
        <v>93</v>
      </c>
    </row>
    <row r="37" spans="2:9" x14ac:dyDescent="0.3">
      <c r="F37" s="160">
        <v>8</v>
      </c>
      <c r="G37" s="160" t="s">
        <v>162</v>
      </c>
      <c r="H37" s="160" t="s">
        <v>403</v>
      </c>
      <c r="I37" s="160">
        <v>92</v>
      </c>
    </row>
    <row r="38" spans="2:9" x14ac:dyDescent="0.3">
      <c r="H38" s="160" t="s">
        <v>404</v>
      </c>
      <c r="I38" s="160">
        <v>90</v>
      </c>
    </row>
    <row r="39" spans="2:9" x14ac:dyDescent="0.3">
      <c r="H39" s="160" t="s">
        <v>405</v>
      </c>
      <c r="I39" s="160">
        <v>88</v>
      </c>
    </row>
    <row r="40" spans="2:9" x14ac:dyDescent="0.3">
      <c r="F40" s="160">
        <v>9</v>
      </c>
      <c r="G40" s="160" t="s">
        <v>406</v>
      </c>
      <c r="H40" s="160" t="s">
        <v>407</v>
      </c>
      <c r="I40" s="160">
        <v>200</v>
      </c>
    </row>
    <row r="41" spans="2:9" x14ac:dyDescent="0.3">
      <c r="H41" s="160" t="s">
        <v>408</v>
      </c>
      <c r="I41" s="160">
        <v>100</v>
      </c>
    </row>
    <row r="42" spans="2:9" x14ac:dyDescent="0.3">
      <c r="H42" s="160" t="s">
        <v>409</v>
      </c>
      <c r="I42" s="160">
        <v>50</v>
      </c>
    </row>
    <row r="43" spans="2:9" x14ac:dyDescent="0.3">
      <c r="H43" s="160" t="s">
        <v>410</v>
      </c>
      <c r="I43" s="160">
        <v>25</v>
      </c>
    </row>
    <row r="44" spans="2:9" x14ac:dyDescent="0.3">
      <c r="H44" s="160" t="s">
        <v>411</v>
      </c>
      <c r="I44" s="160">
        <v>0</v>
      </c>
    </row>
    <row r="45" spans="2:9" x14ac:dyDescent="0.3">
      <c r="F45" s="160">
        <v>10</v>
      </c>
      <c r="G45" s="160" t="s">
        <v>164</v>
      </c>
    </row>
    <row r="46" spans="2:9" x14ac:dyDescent="0.3">
      <c r="G46" s="160" t="s">
        <v>412</v>
      </c>
      <c r="H46" s="160" t="s">
        <v>413</v>
      </c>
      <c r="I46" s="160">
        <v>173</v>
      </c>
    </row>
    <row r="47" spans="2:9" x14ac:dyDescent="0.3">
      <c r="H47" s="160" t="s">
        <v>414</v>
      </c>
      <c r="I47" s="160">
        <v>100</v>
      </c>
    </row>
    <row r="48" spans="2:9" x14ac:dyDescent="0.3">
      <c r="H48" s="160" t="s">
        <v>415</v>
      </c>
      <c r="I48" s="160">
        <v>50</v>
      </c>
    </row>
    <row r="49" spans="7:9" x14ac:dyDescent="0.3">
      <c r="H49" s="160" t="s">
        <v>416</v>
      </c>
    </row>
    <row r="50" spans="7:9" x14ac:dyDescent="0.3">
      <c r="H50" s="160" t="s">
        <v>417</v>
      </c>
      <c r="I50" s="160">
        <v>20</v>
      </c>
    </row>
    <row r="51" spans="7:9" x14ac:dyDescent="0.3">
      <c r="H51" s="160" t="s">
        <v>418</v>
      </c>
      <c r="I51" s="160">
        <v>0</v>
      </c>
    </row>
    <row r="52" spans="7:9" x14ac:dyDescent="0.3">
      <c r="H52" s="160" t="s">
        <v>419</v>
      </c>
    </row>
    <row r="53" spans="7:9" x14ac:dyDescent="0.3">
      <c r="H53" s="160" t="s">
        <v>420</v>
      </c>
    </row>
    <row r="54" spans="7:9" x14ac:dyDescent="0.3">
      <c r="H54" s="160" t="s">
        <v>421</v>
      </c>
    </row>
    <row r="55" spans="7:9" x14ac:dyDescent="0.3">
      <c r="H55" s="160" t="s">
        <v>422</v>
      </c>
    </row>
    <row r="56" spans="7:9" x14ac:dyDescent="0.3">
      <c r="G56" s="160" t="s">
        <v>423</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Черних-Радюк Анастасія Борисівна</cp:lastModifiedBy>
  <cp:revision/>
  <dcterms:created xsi:type="dcterms:W3CDTF">2015-06-05T18:17:20Z</dcterms:created>
  <dcterms:modified xsi:type="dcterms:W3CDTF">2026-01-21T15:02:10Z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