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RE_ калькулятори0604/"/>
    </mc:Choice>
  </mc:AlternateContent>
  <xr:revisionPtr revIDLastSave="27" documentId="13_ncr:1_{4E1AC4D5-FC7D-4C66-B624-6F8EA66F9E29}" xr6:coauthVersionLast="47" xr6:coauthVersionMax="47" xr10:uidLastSave="{49FEAC6F-3950-4E9A-B27E-EEBDD1BC2309}"/>
  <workbookProtection workbookAlgorithmName="SHA-512" workbookHashValue="oA+HbmGiyrZ6EejsnrSFQpIZaKdUOLmBGrL8t8TnoWdJaW+Y8hs/6/RmBLu/2NNVosPw49NWzHmIq7mF+LnejQ==" workbookSaltValue="LvdJGAWXC8N/rcEySVDs6Q==" workbookSpinCount="100000" lockStructure="1"/>
  <bookViews>
    <workbookView xWindow="-120" yWindow="-120" windowWidth="29040" windowHeight="175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1" l="1"/>
  <c r="Z76" i="11"/>
  <c r="Z64" i="11"/>
  <c r="Z52" i="11"/>
  <c r="Z40" i="11"/>
  <c r="Z28" i="11"/>
  <c r="Z16" i="11"/>
  <c r="Z52" i="9"/>
  <c r="P52" i="9"/>
  <c r="Z51" i="9"/>
  <c r="Z49" i="9" s="1"/>
  <c r="P51" i="9"/>
  <c r="P49" i="9" s="1"/>
  <c r="V19" i="11"/>
  <c r="B108" i="11"/>
  <c r="B36" i="11"/>
  <c r="B37" i="11" l="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B40" i="11"/>
  <c r="N8" i="9"/>
  <c r="G4" i="9"/>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S16" i="11" s="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B42" i="11" l="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AX40" i="11"/>
  <c r="AX52" i="11"/>
  <c r="AX76" i="11"/>
  <c r="AX16" i="11"/>
  <c r="AX28" i="11"/>
  <c r="AX64" i="11"/>
  <c r="Q46" i="9" l="1"/>
  <c r="Q45" i="9"/>
  <c r="Q44" i="9"/>
  <c r="Q43" i="9"/>
  <c r="Q42" i="9"/>
  <c r="Q51" i="9"/>
  <c r="Q54" i="9"/>
  <c r="Q53" i="9"/>
  <c r="Q52" i="9"/>
  <c r="Q56" i="9"/>
  <c r="Q55" i="9"/>
  <c r="Q47" i="9"/>
  <c r="B44" i="11"/>
  <c r="AX2" i="11"/>
  <c r="AB32" i="11"/>
  <c r="Q40" i="9" l="1"/>
  <c r="Q49" i="9"/>
  <c r="G9" i="9" s="1"/>
  <c r="S33" i="11" s="1"/>
  <c r="B45" i="1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3" i="1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N6" i="9" l="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37" i="11" l="1"/>
  <c r="N6" i="11" s="1"/>
  <c r="P2" i="11" l="1"/>
  <c r="E21" i="11" s="1"/>
  <c r="R16" i="11"/>
  <c r="Q53" i="11" l="1"/>
  <c r="R9" i="11"/>
  <c r="Q50" i="11" l="1"/>
  <c r="Q49" i="11" s="1"/>
  <c r="Q48" i="11" s="1"/>
  <c r="Q47" i="11" l="1"/>
  <c r="N2" i="11" s="1"/>
  <c r="AN4"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AG11" i="11"/>
  <c r="E31" i="11" s="1"/>
  <c r="AG24" i="11"/>
  <c r="E44" i="11" s="1"/>
  <c r="AE53" i="11"/>
  <c r="D73" i="11" s="1"/>
  <c r="AE30" i="11"/>
  <c r="D50" i="11" s="1"/>
  <c r="AE29" i="11"/>
  <c r="D49" i="11" s="1"/>
  <c r="O4" i="7"/>
  <c r="B2" i="7"/>
  <c r="AE21" i="11"/>
  <c r="D41" i="11" s="1"/>
  <c r="AE11" i="11"/>
  <c r="D31" i="11" s="1"/>
  <c r="AE44" i="11"/>
  <c r="D64" i="11" s="1"/>
  <c r="AG23" i="11"/>
  <c r="E43" i="11" s="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E29" i="11" s="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E46" i="11" s="1"/>
  <c r="AE36" i="11"/>
  <c r="D56" i="11" s="1"/>
  <c r="AG50" i="11"/>
  <c r="AG37" i="11"/>
  <c r="E57" i="11" s="1"/>
  <c r="AG48" i="11"/>
  <c r="E68" i="11" s="1"/>
  <c r="AG54" i="11"/>
  <c r="AE26" i="11"/>
  <c r="D46" i="11" s="1"/>
  <c r="AG33" i="11"/>
  <c r="E53" i="11" s="1"/>
  <c r="AG45" i="11"/>
  <c r="E65" i="11" s="1"/>
  <c r="AE57" i="11"/>
  <c r="D77" i="11" s="1"/>
  <c r="AG59" i="11"/>
  <c r="AG17" i="11"/>
  <c r="E37" i="11" s="1"/>
  <c r="D24" i="11"/>
  <c r="C1" i="7"/>
  <c r="C6" i="7"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40" i="7"/>
  <c r="L82" i="7"/>
  <c r="E79" i="11"/>
  <c r="AI80" i="11"/>
  <c r="AA80" i="11" s="1"/>
  <c r="AI82" i="11"/>
  <c r="AU82" i="11" s="1"/>
  <c r="AI44" i="11"/>
  <c r="AA44" i="11" s="1"/>
  <c r="L59" i="7"/>
  <c r="L88" i="7"/>
  <c r="AI87" i="11"/>
  <c r="AU87" i="11" s="1"/>
  <c r="L69" i="7"/>
  <c r="AI79" i="11"/>
  <c r="G99" i="11" s="1"/>
  <c r="E72" i="11"/>
  <c r="AI77" i="11"/>
  <c r="G97" i="11" s="1"/>
  <c r="L68" i="7"/>
  <c r="AI67" i="11"/>
  <c r="AU67" i="11" s="1"/>
  <c r="E70" i="11"/>
  <c r="AI72" i="11"/>
  <c r="AU72" i="11" s="1"/>
  <c r="AI64" i="11"/>
  <c r="AA64" i="11" s="1"/>
  <c r="L56" i="7"/>
  <c r="L58" i="7"/>
  <c r="L83" i="7"/>
  <c r="AI58" i="11"/>
  <c r="G78" i="11" s="1"/>
  <c r="AI75" i="11"/>
  <c r="G95" i="11" s="1"/>
  <c r="L54" i="7"/>
  <c r="AI74" i="11"/>
  <c r="G94" i="11" s="1"/>
  <c r="AI86" i="11"/>
  <c r="AA86" i="11" s="1"/>
  <c r="L8" i="7"/>
  <c r="AI48" i="11"/>
  <c r="AU48" i="11" s="1"/>
  <c r="L72" i="7"/>
  <c r="L47" i="7"/>
  <c r="AI81" i="11"/>
  <c r="G101" i="11" s="1"/>
  <c r="AI84" i="11"/>
  <c r="AU84" i="11" s="1"/>
  <c r="L81" i="7"/>
  <c r="L44" i="7"/>
  <c r="L85" i="7"/>
  <c r="L77" i="7"/>
  <c r="L64" i="7"/>
  <c r="L70" i="7"/>
  <c r="AI83" i="11"/>
  <c r="AA83" i="11" s="1"/>
  <c r="E77" i="11"/>
  <c r="E90" i="11"/>
  <c r="L48" i="7"/>
  <c r="L79" i="7"/>
  <c r="L78" i="7"/>
  <c r="E100" i="11"/>
  <c r="AI69" i="11"/>
  <c r="AU69" i="11" s="1"/>
  <c r="AI65" i="11"/>
  <c r="AA65" i="11" s="1"/>
  <c r="L62" i="7"/>
  <c r="L73" i="7"/>
  <c r="L61" i="7"/>
  <c r="E102" i="11"/>
  <c r="AI76" i="11"/>
  <c r="G96" i="11" s="1"/>
  <c r="E106" i="11"/>
  <c r="AI66" i="11"/>
  <c r="G86" i="11" s="1"/>
  <c r="L76" i="7"/>
  <c r="L86" i="7"/>
  <c r="L66" i="7"/>
  <c r="L84" i="7"/>
  <c r="L51" i="7"/>
  <c r="AI78" i="11"/>
  <c r="AA78" i="11" s="1"/>
  <c r="L52" i="7"/>
  <c r="L60" i="7"/>
  <c r="E92" i="11"/>
  <c r="L74" i="7"/>
  <c r="L43" i="7"/>
  <c r="L67" i="7"/>
  <c r="E97" i="11"/>
  <c r="L87" i="7"/>
  <c r="AI73" i="11"/>
  <c r="G93" i="11" s="1"/>
  <c r="L75" i="7"/>
  <c r="L80" i="7"/>
  <c r="L71" i="7"/>
  <c r="AI68" i="11"/>
  <c r="AU68" i="11" s="1"/>
  <c r="AI71" i="11"/>
  <c r="AA71" i="11" s="1"/>
  <c r="AA85" i="11"/>
  <c r="AU85" i="11"/>
  <c r="G105" i="11"/>
  <c r="G90" i="11"/>
  <c r="L29" i="7" l="1"/>
  <c r="L35" i="7"/>
  <c r="L34" i="7"/>
  <c r="L30" i="7"/>
  <c r="AI11" i="11"/>
  <c r="AA11" i="11" s="1"/>
  <c r="AI22" i="11"/>
  <c r="AA22" i="11" s="1"/>
  <c r="L10" i="7"/>
  <c r="L31" i="7"/>
  <c r="L25" i="7"/>
  <c r="L38" i="7"/>
  <c r="L23" i="7"/>
  <c r="L14" i="7"/>
  <c r="L20" i="7"/>
  <c r="L6" i="7"/>
  <c r="L19" i="7"/>
  <c r="L15" i="7"/>
  <c r="L17" i="7"/>
  <c r="L21" i="7"/>
  <c r="L27" i="7"/>
  <c r="L18" i="7"/>
  <c r="L13" i="7"/>
  <c r="AI13" i="11"/>
  <c r="G33" i="11" s="1"/>
  <c r="D60" i="1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U70" i="11"/>
  <c r="AI15" i="11"/>
  <c r="AU15" i="11" s="1"/>
  <c r="AI5" i="11"/>
  <c r="AA5" i="11" s="1"/>
  <c r="AI28" i="11"/>
  <c r="AU28" i="11" s="1"/>
  <c r="AI41" i="11"/>
  <c r="AA41" i="11" s="1"/>
  <c r="AI6" i="11"/>
  <c r="AA6" i="11" s="1"/>
  <c r="I5" i="7"/>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G61" i="11"/>
  <c r="G102" i="11"/>
  <c r="AU71" i="11"/>
  <c r="AU66" i="11"/>
  <c r="G87" i="11"/>
  <c r="G107" i="11"/>
  <c r="AA67" i="11"/>
  <c r="AU65" i="11"/>
  <c r="AA87" i="11"/>
  <c r="AU77" i="11"/>
  <c r="G85" i="11"/>
  <c r="AA82" i="11"/>
  <c r="AU64" i="11"/>
  <c r="AA66" i="11"/>
  <c r="AU78" i="11"/>
  <c r="G31" i="11"/>
  <c r="AU11" i="11"/>
  <c r="AA77" i="11"/>
  <c r="G98" i="11"/>
  <c r="AU73" i="11"/>
  <c r="AA72" i="11"/>
  <c r="AA48" i="11"/>
  <c r="G92" i="11"/>
  <c r="AU79" i="11"/>
  <c r="G42" i="11"/>
  <c r="AA73" i="11"/>
  <c r="AU22" i="11"/>
  <c r="AA69" i="11"/>
  <c r="AA76" i="11"/>
  <c r="AA58" i="11"/>
  <c r="AU74" i="11"/>
  <c r="G106" i="11"/>
  <c r="AA75" i="11"/>
  <c r="AU58" i="11"/>
  <c r="AA74" i="11"/>
  <c r="G67" i="11"/>
  <c r="AU86" i="11"/>
  <c r="AU75" i="11"/>
  <c r="G68" i="11"/>
  <c r="G75" i="11"/>
  <c r="AU76" i="11"/>
  <c r="AA68" i="11"/>
  <c r="G88" i="11"/>
  <c r="G66" i="11"/>
  <c r="AA46" i="11"/>
  <c r="AU81" i="11"/>
  <c r="AU83" i="11"/>
  <c r="AA84" i="11"/>
  <c r="AA81" i="11"/>
  <c r="G103" i="11"/>
  <c r="G104" i="11"/>
  <c r="G89" i="11"/>
  <c r="AU30" i="11" l="1"/>
  <c r="AA57" i="11"/>
  <c r="AU41" i="11"/>
  <c r="J5" i="7"/>
  <c r="AM4" i="9" s="1"/>
  <c r="AS5" i="9" s="1"/>
  <c r="AA13" i="11"/>
  <c r="AU13" i="11"/>
  <c r="AU62" i="11"/>
  <c r="G26" i="11"/>
  <c r="AU55" i="11"/>
  <c r="L41" i="7"/>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O5" i="7" l="1"/>
  <c r="AD4" i="9"/>
  <c r="M5" i="7"/>
  <c r="AH4" i="9" s="1"/>
  <c r="G60" i="11"/>
  <c r="AT10" i="11"/>
  <c r="R41" i="11"/>
  <c r="E19" i="11" s="1"/>
  <c r="G84" i="11"/>
  <c r="K6" i="7"/>
  <c r="AO5" i="9" s="1"/>
  <c r="AQ4" i="9"/>
  <c r="AT11" i="11"/>
  <c r="AP10" i="11"/>
  <c r="AR10" i="11" s="1"/>
  <c r="I6" i="7" l="1"/>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l="1"/>
  <c r="AM7" i="9" s="1"/>
  <c r="AS8" i="9" s="1"/>
  <c r="AP17" i="11"/>
  <c r="AR17" i="11" s="1"/>
  <c r="AT18" i="11"/>
  <c r="O8" i="7" l="1"/>
  <c r="K9" i="7" s="1"/>
  <c r="AD7" i="9"/>
  <c r="M8" i="7"/>
  <c r="AQ7" i="9" s="1"/>
  <c r="AP18" i="11"/>
  <c r="AR18" i="11" s="1"/>
  <c r="AT19" i="11"/>
  <c r="AH7" i="9" l="1"/>
  <c r="AP19" i="1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<sst xmlns="http://schemas.openxmlformats.org/spreadsheetml/2006/main" count="840" uniqueCount="527">
  <si>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</si>
  <si>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</si>
  <si>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</si>
  <si>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</si>
  <si>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</si>
  <si>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</si>
  <si>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</si>
  <si>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</si>
  <si>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</si>
  <si>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</si>
  <si>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</si>
  <si>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</si>
  <si>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</si>
  <si>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</si>
  <si>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</si>
  <si>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</si>
  <si>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</si>
  <si>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</si>
  <si>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</si>
  <si>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</si>
  <si>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</si>
  <si>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</si>
  <si>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</si>
  <si>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</si>
  <si>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</si>
  <si>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</si>
  <si>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</si>
  <si>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</si>
  <si>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</si>
  <si>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</si>
  <si>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</si>
  <si>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</si>
  <si>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</si>
  <si>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</si>
  <si>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</si>
  <si>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</si>
  <si>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</si>
  <si>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</si>
  <si>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</si>
  <si>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</si>
  <si>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</si>
  <si>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</si>
  <si>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</si>
  <si>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</si>
  <si>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</si>
  <si>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</si>
  <si>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</si>
  <si>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</si>
  <si>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</si>
  <si>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</si>
  <si>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</si>
  <si>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</si>
  <si>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</si>
  <si>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</si>
  <si>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</si>
  <si>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</si>
  <si>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</si>
  <si>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</si>
  <si>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</si>
  <si>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</si>
  <si>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</si>
  <si>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</si>
  <si>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</si>
  <si>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</si>
  <si>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</si>
  <si>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</si>
  <si>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</si>
  <si>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</si>
  <si>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</si>
  <si>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</si>
  <si>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</si>
  <si>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</si>
  <si>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</si>
  <si>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</si>
  <si>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</si>
  <si>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</si>
  <si>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</si>
  <si>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</si>
  <si>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</si>
  <si>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</si>
  <si>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</si>
  <si>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</si>
  <si>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</si>
  <si>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</si>
  <si>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</si>
  <si>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</si>
  <si>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</si>
  <si>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</si>
  <si>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</si>
  <si>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</si>
  <si>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</si>
  <si>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</si>
  <si>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</si>
  <si>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</si>
  <si>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</si>
  <si>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</si>
  <si>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</si>
  <si>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</si>
  <si>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</si>
  <si>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</si>
  <si>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</si>
  <si>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</si>
  <si>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</si>
  <si>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</si>
  <si>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</si>
  <si>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</si>
  <si>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</si>
  <si>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</si>
  <si>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</si>
  <si>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</si>
  <si>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</si>
  <si>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</si>
  <si>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</si>
  <si>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</si>
  <si>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</si>
  <si>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</si>
  <si>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</si>
  <si>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</si>
  <si>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</si>
  <si>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</si>
  <si>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</si>
  <si>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</si>
  <si>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</si>
  <si>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</si>
  <si>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</si>
  <si>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</si>
  <si>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</si>
  <si>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</si>
  <si>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</si>
  <si>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</si>
  <si>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</si>
  <si>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</si>
  <si>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</si>
  <si>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</si>
  <si>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</si>
  <si>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</si>
  <si>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</si>
  <si>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</si>
  <si>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</si>
  <si>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</si>
  <si>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</si>
  <si>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</si>
  <si>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</si>
  <si>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</si>
  <si>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</si>
  <si>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</si>
  <si>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</si>
  <si>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</si>
  <si>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</si>
  <si>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</si>
  <si>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</si>
  <si>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</si>
  <si>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</si>
  <si>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</si>
  <si>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</si>
  <si>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</si>
  <si>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</si>
  <si>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</si>
  <si>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</si>
  <si>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</si>
  <si>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</si>
  <si>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</si>
  <si>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</si>
  <si>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</si>
  <si>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</si>
  <si>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</si>
  <si>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</si>
  <si>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</si>
  <si>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</si>
  <si>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</si>
  <si>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</si>
  <si>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</si>
  <si>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</si>
  <si>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</si>
  <si>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</si>
  <si>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</si>
  <si>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</si>
  <si>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</si>
  <si>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</si>
  <si>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</si>
  <si>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</si>
  <si>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</si>
  <si>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</si>
  <si>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</si>
  <si>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</si>
  <si>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</si>
  <si>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</si>
  <si>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</si>
  <si>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</si>
  <si>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</si>
  <si>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</si>
  <si>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</si>
  <si>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</si>
  <si>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</si>
  <si>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</si>
  <si>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</si>
  <si>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</si>
  <si>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</si>
  <si>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</si>
  <si>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</si>
  <si>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</si>
  <si>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</si>
  <si>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</si>
  <si>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</si>
  <si>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</si>
  <si>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</si>
  <si>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</si>
  <si>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</si>
  <si>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</si>
  <si>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</si>
  <si>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</si>
  <si>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</si>
  <si>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</si>
  <si>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</si>
  <si>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</si>
  <si>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</si>
  <si>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</si>
  <si>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</si>
  <si>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</si>
  <si>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</si>
  <si>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</si>
  <si>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</si>
  <si>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</si>
  <si>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</si>
  <si>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</si>
  <si>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</si>
  <si>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</si>
  <si>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</si>
  <si>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</si>
  <si>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</si>
  <si>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</si>
  <si>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</si>
  <si>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</si>
  <si>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</si>
  <si>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</si>
  <si>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</si>
  <si>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</si>
  <si>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</si>
  <si>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</si>
  <si>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</si>
  <si>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</si>
  <si>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</si>
  <si>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</si>
  <si>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</si>
  <si>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</si>
  <si>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</si>
  <si>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</si>
  <si>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</si>
  <si>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</si>
  <si>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</si>
  <si>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</si>
  <si>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</si>
  <si>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</si>
  <si>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</si>
  <si>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</si>
  <si>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</si>
  <si>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</si>
  <si>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</si>
  <si>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</si>
  <si>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</si>
  <si>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</si>
  <si>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</si>
  <si>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</si>
  <si>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</si>
  <si>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</si>
  <si>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</si>
  <si>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</si>
  <si>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</si>
  <si>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</si>
  <si>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</si>
  <si>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</si>
  <si>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</si>
  <si>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</si>
  <si>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</si>
  <si>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</si>
  <si>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</si>
  <si>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</si>
  <si>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</si>
  <si>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</si>
  <si>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</si>
  <si>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</si>
  <si>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</si>
  <si>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</si>
  <si>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</si>
  <si>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</si>
  <si>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</si>
  <si>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</si>
  <si>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</si>
  <si>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</si>
  <si>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</si>
  <si>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</si>
  <si>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</si>
  <si>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</si>
  <si>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</si>
  <si>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</si>
  <si>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</si>
  <si>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t>Авансовий внесок за авто:</t>
  </si>
  <si>
    <t>Одноразова комісія банку:</t>
  </si>
  <si>
    <t>КАСКО:</t>
  </si>
  <si>
    <t>Страхування НВ</t>
  </si>
  <si>
    <t>Цивілка:</t>
  </si>
  <si>
    <t>Авансовий платіж</t>
  </si>
  <si>
    <t>Продукти:</t>
  </si>
  <si>
    <t>міс.</t>
  </si>
  <si>
    <t>Реєстрація автомобіля:</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</si>
  <si>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</si>
  <si>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</si>
  <si>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</si>
  <si>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</si>
  <si>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</si>
  <si>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</si>
  <si>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</si>
  <si>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</si>
  <si>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</si>
  <si>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</si>
  <si>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</si>
  <si>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</si>
  <si>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</si>
  <si>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</si>
  <si>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</si>
  <si>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</si>
  <si>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</si>
  <si>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</si>
  <si>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</si>
  <si>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</si>
  <si>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</si>
  <si>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</si>
  <si>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</si>
  <si>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</si>
  <si>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</si>
  <si>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</si>
  <si>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</si>
  <si>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</si>
  <si>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</si>
  <si>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</si>
  <si>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</si>
  <si>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</si>
  <si>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</si>
  <si>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</si>
  <si>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</si>
  <si>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</si>
  <si>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</si>
  <si>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</si>
  <si>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</si>
  <si>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</si>
  <si>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</si>
  <si>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</si>
  <si>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</si>
  <si>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</si>
  <si>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</si>
  <si>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</si>
  <si>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</si>
  <si>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</si>
  <si>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</si>
  <si>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</si>
  <si>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</si>
  <si>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</si>
  <si>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</si>
  <si>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</si>
  <si>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</si>
  <si>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</si>
  <si>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</si>
  <si>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</si>
  <si>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</si>
  <si>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</si>
  <si>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</si>
  <si>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</si>
  <si>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</si>
  <si>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</si>
  <si>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</si>
  <si>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</si>
  <si>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</si>
  <si>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</si>
  <si>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</si>
  <si>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</si>
  <si>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</si>
  <si>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</si>
  <si>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</si>
  <si>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</si>
  <si>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</si>
  <si>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</si>
  <si>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</si>
  <si>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</si>
  <si>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</si>
  <si>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</si>
  <si>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</si>
  <si>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</si>
  <si>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</si>
  <si>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</si>
  <si>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</si>
  <si>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</si>
  <si>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</si>
  <si>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</si>
  <si>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</si>
  <si>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</si>
  <si>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</si>
  <si>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</si>
  <si>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</si>
  <si>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</si>
  <si>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</si>
  <si>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</si>
  <si>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</si>
  <si>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</si>
  <si>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</si>
  <si>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</si>
  <si>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</si>
  <si>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</si>
  <si>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</si>
  <si>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</si>
  <si>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</si>
  <si>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</si>
  <si>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</si>
  <si>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</si>
  <si>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</si>
  <si>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</si>
  <si>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</si>
  <si>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</si>
  <si>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</si>
  <si>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</si>
  <si>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</si>
  <si>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</si>
  <si>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</si>
  <si>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</si>
  <si>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</si>
  <si>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</si>
  <si>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</si>
  <si>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</si>
  <si>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</si>
  <si>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</si>
  <si>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</si>
  <si>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</si>
  <si>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</si>
  <si>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</si>
  <si>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</si>
  <si>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</si>
  <si>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</si>
  <si>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</si>
  <si>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</si>
  <si>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</si>
  <si>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</si>
  <si>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</si>
  <si>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</si>
  <si>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</si>
  <si>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</si>
  <si>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</si>
  <si>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</si>
  <si>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</si>
  <si>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</si>
  <si>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</si>
  <si>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</si>
  <si>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</si>
  <si>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</si>
  <si>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</si>
  <si>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</si>
  <si>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</si>
  <si>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</si>
  <si>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</si>
  <si>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</si>
  <si>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</si>
  <si>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</si>
  <si>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</si>
  <si>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</si>
  <si>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</si>
  <si>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</si>
  <si>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</si>
  <si>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</si>
  <si>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</si>
  <si>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</si>
  <si>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</si>
  <si>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</si>
  <si>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</si>
  <si>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</si>
  <si>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</si>
  <si>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</si>
  <si>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</si>
  <si>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</si>
  <si>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</si>
  <si>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</si>
  <si>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</si>
  <si>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</si>
  <si>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</si>
  <si>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</si>
  <si>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</si>
  <si>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</si>
  <si>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</si>
  <si>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</si>
  <si>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</si>
  <si>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</si>
  <si>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</si>
  <si>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</si>
  <si>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</si>
  <si>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</si>
  <si>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</si>
  <si>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</si>
  <si>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</si>
  <si>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</si>
  <si>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</si>
  <si>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</si>
  <si>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</si>
  <si>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</si>
  <si>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</si>
  <si>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</si>
  <si>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</si>
  <si>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</si>
  <si>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</si>
  <si>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</si>
  <si>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</si>
  <si>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</si>
  <si>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</si>
  <si>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</si>
  <si>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</si>
  <si>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</si>
  <si>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</si>
  <si>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</si>
  <si>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</si>
  <si>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</si>
  <si>
    <r>
      <t xml:space="preserve">Аванс </t>
    </r>
    <r>
      <rPr>
        <sz val="9"/>
        <color theme="1"/>
        <rFont val="Times New Roman"/>
        <family val="1"/>
        <charset val="204"/>
      </rPr>
      <t xml:space="preserve">(вказується в </t>
    </r>
    <r>
      <rPr>
        <b/>
        <sz val="9"/>
        <color theme="1"/>
        <rFont val="Times New Roman"/>
        <family val="1"/>
        <charset val="204"/>
      </rPr>
      <t>грн. "10000"</t>
    </r>
    <r>
      <rPr>
        <sz val="9"/>
        <color theme="1"/>
        <rFont val="Times New Roman"/>
        <family val="1"/>
        <charset val="204"/>
      </rPr>
      <t xml:space="preserve"> або</t>
    </r>
    <r>
      <rPr>
        <b/>
        <sz val="9"/>
        <color theme="1"/>
        <rFont val="Times New Roman"/>
        <family val="1"/>
        <charset val="204"/>
      </rPr>
      <t xml:space="preserve"> % "20%"</t>
    </r>
    <r>
      <rPr>
        <sz val="9"/>
        <color theme="1"/>
        <rFont val="Times New Roman"/>
        <family val="1"/>
        <charset val="204"/>
      </rPr>
      <t>)</t>
    </r>
  </si>
  <si>
    <r>
      <t>Загальна сума внесків до повернення в місяць, грн.</t>
    </r>
    <r>
      <rPr>
        <b/>
        <sz val="8"/>
        <color theme="1"/>
        <rFont val="Times New Roman"/>
        <family val="1"/>
        <charset val="204"/>
      </rPr>
      <t>*</t>
    </r>
  </si>
  <si>
    <t>20-29,9</t>
  </si>
  <si>
    <t>30-39,9</t>
  </si>
  <si>
    <t>40-49,9</t>
  </si>
  <si>
    <t>50-59,9</t>
  </si>
  <si>
    <t>60-69,9</t>
  </si>
  <si>
    <t>70&gt;=</t>
  </si>
  <si>
    <t>Комісія</t>
  </si>
  <si>
    <t>АВТОФІНАНС</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</si>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</sst>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6"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
      <b/>
      <sz val="11"/>
      <color theme="1"/>
      <name val="Calibri"/>
      <family val="2"/>
      <scheme val="minor"/>
    </font>
    <font>
      <sz val="9"/>
      <color theme="1"/>
      <name val="Times New Roman"/>
      <family val="1"/>
      <charset val="204"/>
    </font>
    <font>
      <b/>
      <sz val="9"/>
      <color theme="1"/>
      <name val="Times New Roman"/>
      <family val="1"/>
      <charset val="204"/>
    </font>
    <font>
      <b/>
      <sz val="8"/>
      <color theme="1"/>
      <name val="Times New Roman"/>
      <family val="1"/>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40">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5"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5"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0" fillId="5" borderId="0" xfId="0" applyFill="1"/>
    <xf numFmtId="0" fontId="0" fillId="5" borderId="0" xfId="0" applyFill="1" applyAlignment="1">
      <alignment horizontal="center" vertical="center"/>
    </xf>
    <xf numFmtId="0" fontId="62" fillId="5" borderId="0" xfId="0" applyFont="1" applyFill="1" applyAlignment="1">
      <alignment horizontal="center" vertical="center"/>
    </xf>
    <xf numFmtId="0" fontId="62" fillId="5" borderId="0" xfId="0" applyFont="1" applyFill="1"/>
    <xf numFmtId="4" fontId="62" fillId="5" borderId="0" xfId="0" applyNumberFormat="1" applyFont="1" applyFill="1"/>
    <xf numFmtId="4" fontId="0" fillId="5" borderId="0" xfId="0" applyNumberFormat="1" applyFill="1"/>
    <xf numFmtId="0" fontId="54" fillId="5" borderId="0" xfId="5" applyFont="1" applyFill="1" applyAlignment="1" applyProtection="1">
      <alignment horizontal="center"/>
      <protection hidden="1"/>
    </xf>
    <xf numFmtId="4" fontId="54" fillId="5" borderId="0" xfId="5" applyNumberFormat="1" applyFont="1" applyFill="1" applyAlignment="1" applyProtection="1">
      <alignment horizontal="center"/>
      <protection hidden="1"/>
    </xf>
    <xf numFmtId="4" fontId="33" fillId="5" borderId="0" xfId="5" applyNumberFormat="1" applyFont="1" applyFill="1" applyAlignment="1">
      <alignment horizontal="center"/>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5" fillId="5" borderId="32" xfId="5" applyNumberFormat="1" applyFont="1" applyFill="1" applyBorder="1" applyAlignment="1" applyProtection="1">
      <alignment horizontal="center" vertical="center"/>
      <protection hidden="1"/>
    </xf>
    <xf numFmtId="176" fontId="55" fillId="5" borderId="14" xfId="5" applyNumberFormat="1" applyFont="1" applyFill="1" applyBorder="1" applyAlignment="1" applyProtection="1">
      <alignment horizontal="center" vertical="center"/>
      <protection hidden="1"/>
    </xf>
    <xf numFmtId="176" fontId="48" fillId="10" borderId="32"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57" fillId="0" borderId="21" xfId="2" applyFont="1" applyBorder="1" applyAlignment="1" applyProtection="1">
      <alignment horizontal="center" vertical="center"/>
      <protection hidden="1"/>
    </xf>
    <xf numFmtId="0" fontId="57"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0" fontId="50" fillId="0" borderId="57" xfId="2" applyFont="1" applyBorder="1" applyAlignment="1" applyProtection="1">
      <alignment horizontal="center" vertical="center"/>
      <protection hidden="1"/>
    </xf>
    <xf numFmtId="0" fontId="50" fillId="0" borderId="58" xfId="2" applyFont="1" applyBorder="1" applyAlignment="1" applyProtection="1">
      <alignment horizontal="center" vertical="center"/>
      <protection hidden="1"/>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50" fillId="0" borderId="21" xfId="2" applyFont="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50" fillId="0" borderId="24" xfId="2" applyFont="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57" fillId="0" borderId="16" xfId="2" applyFont="1" applyBorder="1" applyAlignment="1" applyProtection="1">
      <alignment horizontal="center" vertical="center" wrapText="1"/>
      <protection hidden="1"/>
    </xf>
    <xf numFmtId="0" fontId="57" fillId="0" borderId="17" xfId="2" applyFont="1" applyBorder="1" applyAlignment="1" applyProtection="1">
      <alignment horizontal="center" vertical="center" wrapText="1"/>
      <protection hidden="1"/>
    </xf>
    <xf numFmtId="0" fontId="57" fillId="0" borderId="20" xfId="2" applyFont="1" applyBorder="1" applyAlignment="1" applyProtection="1">
      <alignment horizontal="center" vertical="center" wrapText="1"/>
      <protection hidden="1"/>
    </xf>
    <xf numFmtId="0" fontId="57" fillId="0" borderId="15" xfId="2" applyFont="1" applyBorder="1" applyAlignment="1" applyProtection="1">
      <alignment horizontal="center" vertical="center" wrapText="1"/>
      <protection hidden="1"/>
    </xf>
    <xf numFmtId="0" fontId="57" fillId="0" borderId="21" xfId="2" applyFont="1" applyBorder="1" applyAlignment="1" applyProtection="1">
      <alignment horizontal="center" vertical="center" wrapText="1"/>
      <protection hidden="1"/>
    </xf>
    <xf numFmtId="0" fontId="57"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176" fontId="55" fillId="5" borderId="21" xfId="5" applyNumberFormat="1" applyFont="1" applyFill="1" applyBorder="1" applyAlignment="1" applyProtection="1">
      <alignment horizontal="center" vertical="center"/>
      <protection hidden="1"/>
    </xf>
    <xf numFmtId="176" fontId="55" fillId="5" borderId="13" xfId="5" applyNumberFormat="1" applyFont="1" applyFill="1" applyBorder="1" applyAlignment="1" applyProtection="1">
      <alignment horizontal="center" vertical="center"/>
      <protection hidden="1"/>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6"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6">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87</xdr:col>
          <xdr:colOff>0</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АВТОФІНАНС</a:t>
          </a: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51</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51</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47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47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51</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67</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55</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51</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4" width="0" style="160" hidden="1" customWidth="1"/>
    <col min="65" max="16384" width="8.7109375" style="160"/>
  </cols>
  <sheetData>
    <row r="1" spans="2:8" x14ac:dyDescent="0.25">
      <c r="B1" s="158" t="s">
        <v>0</v>
      </c>
      <c r="C1" s="159" t="s">
        <v>1</v>
      </c>
      <c r="D1" s="159"/>
      <c r="G1" s="160" t="s">
        <v>2</v>
      </c>
    </row>
    <row r="2" spans="2:8" x14ac:dyDescent="0.25">
      <c r="B2" s="161"/>
      <c r="C2" s="162"/>
      <c r="D2" s="162"/>
    </row>
    <row r="3" spans="2:8" x14ac:dyDescent="0.25">
      <c r="B3" s="160" t="s">
        <v>3</v>
      </c>
      <c r="C3" s="163">
        <v>333333.33333333337</v>
      </c>
      <c r="D3" s="163"/>
      <c r="G3" s="160" t="s">
        <v>4</v>
      </c>
      <c r="H3" s="160" t="s">
        <v>5</v>
      </c>
    </row>
    <row r="4" spans="2:8" x14ac:dyDescent="0.25">
      <c r="B4" s="160" t="s">
        <v>6</v>
      </c>
      <c r="C4" s="163">
        <f>C3*E4</f>
        <v>233333.33333333334</v>
      </c>
      <c r="D4" s="163">
        <f>C4/C3</f>
        <v>0.7</v>
      </c>
      <c r="E4" s="160">
        <v>0.7</v>
      </c>
      <c r="G4" s="160" t="s">
        <v>7</v>
      </c>
    </row>
    <row r="5" spans="2:8" x14ac:dyDescent="0.25">
      <c r="B5" s="160" t="s">
        <v>8</v>
      </c>
      <c r="C5" s="163">
        <v>5000000</v>
      </c>
      <c r="D5" s="163"/>
      <c r="G5" s="160" t="s">
        <v>9</v>
      </c>
      <c r="H5" s="160">
        <v>60</v>
      </c>
    </row>
    <row r="6" spans="2:8" x14ac:dyDescent="0.25">
      <c r="C6" s="163"/>
      <c r="D6" s="163"/>
      <c r="G6" s="160" t="s">
        <v>10</v>
      </c>
      <c r="H6" s="160">
        <f>Ануїтетна_графік_Авто!E2</f>
        <v>9.3000000000000007</v>
      </c>
    </row>
    <row r="7" spans="2:8" x14ac:dyDescent="0.25">
      <c r="C7" s="163"/>
      <c r="D7" s="163">
        <f>D6*1.7</f>
        <v>0</v>
      </c>
      <c r="E7" s="160">
        <f>D6+D5</f>
        <v>0</v>
      </c>
      <c r="G7" s="160" t="s">
        <v>11</v>
      </c>
    </row>
    <row r="8" spans="2:8" x14ac:dyDescent="0.25">
      <c r="B8" s="160" t="s">
        <v>12</v>
      </c>
      <c r="C8" s="163">
        <f>C3-C4</f>
        <v>100000.00000000003</v>
      </c>
      <c r="D8" s="163"/>
      <c r="G8" s="160" t="s">
        <v>13</v>
      </c>
      <c r="H8" s="160" t="s">
        <v>14</v>
      </c>
    </row>
    <row r="9" spans="2:8" x14ac:dyDescent="0.25">
      <c r="B9" s="160" t="s">
        <v>15</v>
      </c>
      <c r="C9" s="163" t="s">
        <v>16</v>
      </c>
      <c r="D9" s="163"/>
    </row>
    <row r="10" spans="2:8" x14ac:dyDescent="0.25">
      <c r="B10" s="160" t="s">
        <v>17</v>
      </c>
      <c r="C10" s="163" t="s">
        <v>16</v>
      </c>
      <c r="D10" s="163">
        <v>3960.0000000000005</v>
      </c>
      <c r="H10" s="160">
        <f>H4*C3</f>
        <v>0</v>
      </c>
    </row>
    <row r="11" spans="2:8" x14ac:dyDescent="0.25">
      <c r="B11" s="160" t="s">
        <v>18</v>
      </c>
      <c r="C11" s="160" t="s">
        <v>16</v>
      </c>
      <c r="H11" s="160">
        <f>H4*C8</f>
        <v>0</v>
      </c>
    </row>
    <row r="12" spans="2:8" x14ac:dyDescent="0.25">
      <c r="B12" s="161" t="s">
        <v>19</v>
      </c>
      <c r="C12" s="161" t="s">
        <v>16</v>
      </c>
      <c r="E12" s="160">
        <f>800000/100</f>
        <v>8000</v>
      </c>
    </row>
    <row r="13" spans="2:8" x14ac:dyDescent="0.25">
      <c r="B13" s="160" t="s">
        <v>20</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21</v>
      </c>
      <c r="I17" s="160" t="s">
        <v>22</v>
      </c>
    </row>
    <row r="18" spans="2:9" x14ac:dyDescent="0.25">
      <c r="C18" s="160" t="s">
        <v>21</v>
      </c>
      <c r="G18" s="160" t="s">
        <v>23</v>
      </c>
      <c r="H18" s="160" t="s">
        <v>24</v>
      </c>
    </row>
    <row r="19" spans="2:9" x14ac:dyDescent="0.25">
      <c r="B19" s="160" t="s">
        <v>25</v>
      </c>
      <c r="C19" s="160">
        <v>100</v>
      </c>
      <c r="G19" s="160" t="s">
        <v>26</v>
      </c>
      <c r="H19" s="160">
        <v>0</v>
      </c>
    </row>
    <row r="20" spans="2:9" x14ac:dyDescent="0.25">
      <c r="B20" s="160" t="s">
        <v>27</v>
      </c>
      <c r="C20" s="160" t="s">
        <v>28</v>
      </c>
      <c r="G20" s="160" t="s">
        <v>29</v>
      </c>
      <c r="H20" s="160">
        <v>35065</v>
      </c>
    </row>
    <row r="21" spans="2:9" x14ac:dyDescent="0.25">
      <c r="B21" s="160" t="s">
        <v>30</v>
      </c>
      <c r="C21" s="160" t="s">
        <v>28</v>
      </c>
    </row>
    <row r="22" spans="2:9" x14ac:dyDescent="0.25">
      <c r="B22" s="160" t="s">
        <v>31</v>
      </c>
      <c r="G22" s="160" t="s">
        <v>32</v>
      </c>
    </row>
    <row r="23" spans="2:9" x14ac:dyDescent="0.25">
      <c r="F23" s="160" t="s">
        <v>33</v>
      </c>
      <c r="G23" s="160" t="s">
        <v>34</v>
      </c>
    </row>
    <row r="24" spans="2:9" x14ac:dyDescent="0.25">
      <c r="B24" s="160" t="s">
        <v>35</v>
      </c>
      <c r="C24" s="160">
        <v>24</v>
      </c>
      <c r="G24" s="160" t="s">
        <v>36</v>
      </c>
    </row>
    <row r="25" spans="2:9" x14ac:dyDescent="0.25">
      <c r="B25" s="160" t="s">
        <v>37</v>
      </c>
      <c r="C25" s="160">
        <v>0</v>
      </c>
      <c r="G25" s="160" t="s">
        <v>38</v>
      </c>
    </row>
    <row r="26" spans="2:9" x14ac:dyDescent="0.25">
      <c r="G26" s="160" t="s">
        <v>39</v>
      </c>
    </row>
    <row r="27" spans="2:9" x14ac:dyDescent="0.25">
      <c r="G27" s="160" t="s">
        <v>40</v>
      </c>
    </row>
    <row r="29" spans="2:9" x14ac:dyDescent="0.25">
      <c r="B29" s="160" t="s">
        <v>41</v>
      </c>
      <c r="C29" s="160">
        <v>0</v>
      </c>
    </row>
    <row r="30" spans="2:9" x14ac:dyDescent="0.25">
      <c r="B30" s="160" t="s">
        <v>42</v>
      </c>
      <c r="C30" s="160">
        <v>0</v>
      </c>
    </row>
    <row r="32" spans="2:9" x14ac:dyDescent="0.25">
      <c r="C32" s="160" t="s">
        <v>21</v>
      </c>
      <c r="D32" s="160" t="s">
        <v>43</v>
      </c>
      <c r="E32" s="160" t="s">
        <v>22</v>
      </c>
    </row>
    <row r="33" spans="1:3" x14ac:dyDescent="0.25">
      <c r="A33" s="160" t="s">
        <v>44</v>
      </c>
      <c r="B33" s="160" t="s">
        <v>45</v>
      </c>
    </row>
    <row r="34" spans="1:3" x14ac:dyDescent="0.25">
      <c r="B34" s="160" t="s">
        <v>46</v>
      </c>
      <c r="C34" s="160">
        <v>2000000</v>
      </c>
    </row>
    <row r="35" spans="1:3" x14ac:dyDescent="0.25">
      <c r="B35" s="160" t="s">
        <v>47</v>
      </c>
    </row>
    <row r="36" spans="1:3" x14ac:dyDescent="0.25">
      <c r="B36" s="160" t="s">
        <v>48</v>
      </c>
    </row>
    <row r="38" spans="1:3" x14ac:dyDescent="0.25">
      <c r="A38" s="160" t="s">
        <v>49</v>
      </c>
      <c r="B38" s="160" t="s">
        <v>50</v>
      </c>
    </row>
    <row r="40" spans="1:3" x14ac:dyDescent="0.25">
      <c r="A40" s="160" t="s">
        <v>51</v>
      </c>
      <c r="B40" s="160" t="s">
        <v>52</v>
      </c>
    </row>
    <row r="41" spans="1:3" x14ac:dyDescent="0.25">
      <c r="B41" s="160" t="s">
        <v>53</v>
      </c>
    </row>
    <row r="42" spans="1:3" x14ac:dyDescent="0.25">
      <c r="B42" s="160" t="s">
        <v>54</v>
      </c>
    </row>
    <row r="43" spans="1:3" x14ac:dyDescent="0.25">
      <c r="B43" s="160" t="s">
        <v>55</v>
      </c>
    </row>
    <row r="45" spans="1:3" x14ac:dyDescent="0.25">
      <c r="A45" s="160" t="s">
        <v>56</v>
      </c>
      <c r="B45" s="160" t="s">
        <v>57</v>
      </c>
    </row>
    <row r="46" spans="1:3" x14ac:dyDescent="0.25">
      <c r="B46" s="160" t="s">
        <v>58</v>
      </c>
    </row>
    <row r="48" spans="1:3" x14ac:dyDescent="0.25">
      <c r="A48" s="160" t="s">
        <v>59</v>
      </c>
      <c r="B48" s="160" t="s">
        <v>60</v>
      </c>
    </row>
    <row r="49" spans="1:3" x14ac:dyDescent="0.25">
      <c r="B49" s="160" t="s">
        <v>61</v>
      </c>
    </row>
    <row r="51" spans="1:3" x14ac:dyDescent="0.25">
      <c r="A51" s="160" t="s">
        <v>62</v>
      </c>
      <c r="B51" s="160" t="s">
        <v>63</v>
      </c>
    </row>
    <row r="52" spans="1:3" x14ac:dyDescent="0.25">
      <c r="B52" s="160" t="s">
        <v>64</v>
      </c>
    </row>
    <row r="54" spans="1:3" x14ac:dyDescent="0.25">
      <c r="A54" s="160" t="s">
        <v>65</v>
      </c>
      <c r="B54" s="160" t="s">
        <v>66</v>
      </c>
      <c r="C54" s="160">
        <v>0</v>
      </c>
    </row>
    <row r="55" spans="1:3" x14ac:dyDescent="0.25">
      <c r="B55" s="160" t="s">
        <v>67</v>
      </c>
      <c r="C55" s="160">
        <v>0</v>
      </c>
    </row>
    <row r="58" spans="1:3" x14ac:dyDescent="0.25">
      <c r="A58" s="160" t="s">
        <v>68</v>
      </c>
      <c r="B58" s="160" t="s">
        <v>69</v>
      </c>
    </row>
    <row r="59" spans="1:3" x14ac:dyDescent="0.25">
      <c r="B59" s="160" t="s">
        <v>70</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71</v>
      </c>
      <c r="B63" s="160" t="s">
        <v>72</v>
      </c>
    </row>
    <row r="64" spans="1:3" x14ac:dyDescent="0.25">
      <c r="B64" s="160" t="s">
        <v>73</v>
      </c>
    </row>
    <row r="65" spans="1:9" x14ac:dyDescent="0.25">
      <c r="B65" s="160" t="s">
        <v>74</v>
      </c>
    </row>
    <row r="66" spans="1:9" x14ac:dyDescent="0.25">
      <c r="B66" s="160" t="s">
        <v>75</v>
      </c>
      <c r="C66" s="160">
        <v>0</v>
      </c>
    </row>
    <row r="74" spans="1:9" x14ac:dyDescent="0.25">
      <c r="H74" s="160" t="s">
        <v>76</v>
      </c>
      <c r="I74" s="160" t="s">
        <v>77</v>
      </c>
    </row>
    <row r="75" spans="1:9" x14ac:dyDescent="0.25">
      <c r="B75" s="160" t="s">
        <v>78</v>
      </c>
      <c r="G75" s="160" t="s">
        <v>79</v>
      </c>
      <c r="H75" s="160">
        <f>IF(OR(H6&lt;&gt;"",H5&lt;&gt;""),(Ануїтетна_графік_Іпотека!B16/1200*(1+Ануїтетна_графік_Іпотека!B16/1200)^H5)/(((1+Ануїтетна_графік_Іпотека!B16/1200)^H5)-1)+H4/100,0)</f>
        <v>2.0904257321485764E-2</v>
      </c>
      <c r="I75" s="160">
        <f>IF(OR(H6&lt;&gt;"",H5&lt;&gt;""),1/H5+Ануїтетна_графік_Іпотека!B16/100*31/360+H4/100,0)</f>
        <v>2.4675000000000002E-2</v>
      </c>
    </row>
    <row r="76" spans="1:9" x14ac:dyDescent="0.25">
      <c r="B76" s="160" t="s">
        <v>80</v>
      </c>
      <c r="C76" s="160">
        <f>MAX(H75:H78)</f>
        <v>2.0904257321485764E-2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82</v>
      </c>
      <c r="C77" s="160">
        <f>MAX(I75:I78)</f>
        <v>2.4675000000000002E-2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84</v>
      </c>
      <c r="C78" s="160">
        <f>IF(H3="ануїтет",C76,C77)</f>
        <v>2.0904257321485764E-2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86</v>
      </c>
      <c r="B80" s="160" t="s">
        <v>87</v>
      </c>
      <c r="C80" s="160">
        <f>$H$91</f>
        <v>4000000</v>
      </c>
      <c r="G80" s="160" t="s">
        <v>88</v>
      </c>
    </row>
    <row r="81" spans="1:9" x14ac:dyDescent="0.25">
      <c r="B81" s="160" t="s">
        <v>89</v>
      </c>
      <c r="C81" s="160">
        <f>C29+C30</f>
        <v>0</v>
      </c>
    </row>
    <row r="82" spans="1:9" x14ac:dyDescent="0.25">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25">
      <c r="G83" s="160" t="s">
        <v>92</v>
      </c>
      <c r="H83" s="160">
        <v>0.65</v>
      </c>
    </row>
    <row r="84" spans="1:9" x14ac:dyDescent="0.25">
      <c r="A84" s="160" t="s">
        <v>93</v>
      </c>
      <c r="B84" s="160" t="s">
        <v>94</v>
      </c>
      <c r="C84" s="160" t="s">
        <v>21</v>
      </c>
      <c r="D84" s="160" t="s">
        <v>43</v>
      </c>
      <c r="E84" s="160" t="s">
        <v>22</v>
      </c>
      <c r="G84" s="160" t="s">
        <v>95</v>
      </c>
      <c r="H84" s="160">
        <v>1</v>
      </c>
    </row>
    <row r="85" spans="1:9" x14ac:dyDescent="0.25">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25">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25">
      <c r="B87" s="160" t="s">
        <v>100</v>
      </c>
      <c r="C87" s="160">
        <f>C38</f>
        <v>0</v>
      </c>
      <c r="D87" s="160">
        <f>D38</f>
        <v>0</v>
      </c>
      <c r="E87" s="160">
        <f>E38</f>
        <v>0</v>
      </c>
      <c r="G87" s="160" t="s">
        <v>101</v>
      </c>
      <c r="H87" s="160">
        <v>4000000</v>
      </c>
    </row>
    <row r="88" spans="1:9" x14ac:dyDescent="0.25">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25">
      <c r="B89" s="160" t="s">
        <v>105</v>
      </c>
      <c r="C89" s="160">
        <f>C45</f>
        <v>0</v>
      </c>
      <c r="D89" s="160">
        <f>D45</f>
        <v>0</v>
      </c>
      <c r="E89" s="160">
        <f>E45</f>
        <v>0</v>
      </c>
      <c r="G89" s="160" t="s">
        <v>106</v>
      </c>
      <c r="H89" s="160">
        <v>1</v>
      </c>
    </row>
    <row r="90" spans="1:9" x14ac:dyDescent="0.25">
      <c r="B90" s="160" t="s">
        <v>107</v>
      </c>
      <c r="C90" s="160">
        <f>C48-C49</f>
        <v>0</v>
      </c>
      <c r="D90" s="160">
        <f>D48-D49</f>
        <v>0</v>
      </c>
      <c r="E90" s="160">
        <f>E48-E49</f>
        <v>0</v>
      </c>
      <c r="G90" s="160" t="s">
        <v>108</v>
      </c>
      <c r="H90" s="160">
        <v>1</v>
      </c>
    </row>
    <row r="91" spans="1:9" x14ac:dyDescent="0.25">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25">
      <c r="B92" s="160" t="s">
        <v>111</v>
      </c>
      <c r="C92" s="160">
        <f>SUM(C86:C91)</f>
        <v>1610000</v>
      </c>
      <c r="D92" s="160">
        <f>SUM(D86:D91)</f>
        <v>0</v>
      </c>
      <c r="E92" s="160">
        <f>SUM(E86:E91)</f>
        <v>0</v>
      </c>
    </row>
    <row r="93" spans="1:9" x14ac:dyDescent="0.25">
      <c r="B93" s="160" t="s">
        <v>112</v>
      </c>
      <c r="C93" s="160">
        <f>C92+D92+IF(C9="Так",E92,0)</f>
        <v>1610000</v>
      </c>
    </row>
    <row r="95" spans="1:9" x14ac:dyDescent="0.25">
      <c r="A95" s="160" t="s">
        <v>113</v>
      </c>
      <c r="B95" s="160" t="s">
        <v>90</v>
      </c>
      <c r="C95" s="160">
        <f>H82</f>
        <v>30</v>
      </c>
    </row>
    <row r="96" spans="1:9" x14ac:dyDescent="0.25">
      <c r="B96" s="160" t="s">
        <v>114</v>
      </c>
      <c r="C96" s="160">
        <f>IF(C3&lt;&gt;"",C4/C3*100,0)</f>
        <v>70</v>
      </c>
    </row>
    <row r="97" spans="1:4" x14ac:dyDescent="0.25">
      <c r="B97" s="160" t="s">
        <v>113</v>
      </c>
      <c r="C97" s="160">
        <f>IF(C1="Поточні потреби під заставу нерухомості",C82,IF(C96&gt;C95,C3-C4+(D10+D11+D12)*H90,C3-(C3*C95/100)+(D10+D11+D12)*H90))</f>
        <v>103960.00000000003</v>
      </c>
    </row>
    <row r="99" spans="1:4" x14ac:dyDescent="0.25">
      <c r="A99" s="160" t="s">
        <v>115</v>
      </c>
      <c r="B99" s="160" t="s">
        <v>92</v>
      </c>
      <c r="C99" s="160">
        <f>H83</f>
        <v>0.65</v>
      </c>
    </row>
    <row r="100" spans="1:4" x14ac:dyDescent="0.25">
      <c r="B100" s="160" t="s">
        <v>116</v>
      </c>
      <c r="C100" s="160">
        <f>C54+D54+E54+C55+D55+E55</f>
        <v>0</v>
      </c>
    </row>
    <row r="101" spans="1:4" x14ac:dyDescent="0.25">
      <c r="B101" s="160" t="s">
        <v>115</v>
      </c>
      <c r="C101" s="160">
        <f>IF(C78&lt;&gt;0,(C99*C93-C100)/C78,0)</f>
        <v>50061572.8129403</v>
      </c>
    </row>
    <row r="103" spans="1:4" x14ac:dyDescent="0.25">
      <c r="A103" s="160" t="s">
        <v>117</v>
      </c>
      <c r="B103" s="160" t="s">
        <v>95</v>
      </c>
      <c r="C103" s="160">
        <f>H84</f>
        <v>1</v>
      </c>
    </row>
    <row r="104" spans="1:4" x14ac:dyDescent="0.25">
      <c r="B104" s="160" t="s">
        <v>97</v>
      </c>
      <c r="C104" s="160">
        <f>H85</f>
        <v>1.266</v>
      </c>
    </row>
    <row r="105" spans="1:4" x14ac:dyDescent="0.25">
      <c r="B105" s="160" t="s">
        <v>99</v>
      </c>
      <c r="C105" s="160">
        <f>H86</f>
        <v>1420.07</v>
      </c>
    </row>
    <row r="106" spans="1:4" x14ac:dyDescent="0.25">
      <c r="C106" s="160" t="s">
        <v>21</v>
      </c>
      <c r="D106" s="160" t="s">
        <v>22</v>
      </c>
    </row>
    <row r="107" spans="1:4" x14ac:dyDescent="0.25">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119</v>
      </c>
      <c r="C108" s="160">
        <f>IFERROR(VLOOKUP(C20,'Таблиця МП_БВС'!$B:$E,4,),1.33)</f>
        <v>1.33</v>
      </c>
      <c r="D108" s="160">
        <f>IFERROR(VLOOKUP(D20,'Таблиця МП_БВС'!$B:$E,4,),1)</f>
        <v>1</v>
      </c>
    </row>
    <row r="109" spans="1:4" x14ac:dyDescent="0.25">
      <c r="B109" s="160" t="s">
        <v>120</v>
      </c>
      <c r="C109" s="160">
        <f>IFERROR(VLOOKUP(C21,'Таблиця МП_БВС'!$B:$E,4,),1.33)</f>
        <v>1.33</v>
      </c>
      <c r="D109" s="160">
        <f>IFERROR(VLOOKUP(D21,'Таблиця МП_БВС'!$B:$E,4,),1)</f>
        <v>1</v>
      </c>
    </row>
    <row r="110" spans="1:4" x14ac:dyDescent="0.25">
      <c r="B110" s="160" t="s">
        <v>121</v>
      </c>
      <c r="C110" s="160">
        <f>IFERROR(VLOOKUP(C22,'Таблиця МП_БВС'!$B:$E,4,),1.33)</f>
        <v>1.33</v>
      </c>
      <c r="D110" s="160">
        <f>IFERROR(VLOOKUP(C22,'Таблиця МП_БВС'!$B:$E,4,),1)</f>
        <v>1</v>
      </c>
    </row>
    <row r="111" spans="1:4" x14ac:dyDescent="0.25">
      <c r="B111" s="160" t="s">
        <v>122</v>
      </c>
      <c r="C111" s="160">
        <f>IF(C1="Автокредит",MAX(C108,C109),MAX(C108,C109,C110))</f>
        <v>1.33</v>
      </c>
      <c r="D111" s="160">
        <f>MAX(D108,D109,D110)</f>
        <v>1</v>
      </c>
    </row>
    <row r="112" spans="1:4" x14ac:dyDescent="0.25">
      <c r="B112" s="160" t="s">
        <v>123</v>
      </c>
      <c r="C112" s="160">
        <f>1+IF(OR(H18="одружений(на)",H18="не зареєстрований шлюб"),1,0)+H19</f>
        <v>1</v>
      </c>
      <c r="D112" s="160">
        <f>1+IF(OR(I18="одружений(на)",I18="не зареєстрований шлюб"),1,0)+I19</f>
        <v>1</v>
      </c>
    </row>
    <row r="113" spans="1:4" x14ac:dyDescent="0.25">
      <c r="B113" s="160" t="s">
        <v>124</v>
      </c>
      <c r="C113" s="160">
        <f>MAX(C19,C107*C111*$C$104)</f>
        <v>8621.2398426</v>
      </c>
      <c r="D113" s="160">
        <f>IF(C9="Так",MAX(D19,D107*D111*$C$104),0)</f>
        <v>0</v>
      </c>
    </row>
    <row r="114" spans="1:4" x14ac:dyDescent="0.25">
      <c r="B114" s="160" t="s">
        <v>117</v>
      </c>
      <c r="C114" s="160">
        <f>IF(C78&lt;&gt;0,(C103*C93-C100-C113-D113)/C78,0)</f>
        <v>76605388.822470859</v>
      </c>
    </row>
    <row r="116" spans="1:4" x14ac:dyDescent="0.25">
      <c r="A116" s="160" t="s">
        <v>125</v>
      </c>
      <c r="B116" s="160" t="s">
        <v>94</v>
      </c>
    </row>
    <row r="118" spans="1:4" x14ac:dyDescent="0.25">
      <c r="A118" s="160" t="s">
        <v>126</v>
      </c>
      <c r="B118" s="160" t="s">
        <v>101</v>
      </c>
      <c r="C118" s="160">
        <f>H87</f>
        <v>4000000</v>
      </c>
    </row>
    <row r="119" spans="1:4" x14ac:dyDescent="0.25">
      <c r="B119" s="160" t="s">
        <v>127</v>
      </c>
      <c r="C119" s="160">
        <f>C63+C64+C65+C66</f>
        <v>0</v>
      </c>
    </row>
    <row r="120" spans="1:4" x14ac:dyDescent="0.25">
      <c r="B120" s="160" t="s">
        <v>126</v>
      </c>
      <c r="C120" s="160">
        <f>C118-C119</f>
        <v>4000000</v>
      </c>
    </row>
    <row r="122" spans="1:4" x14ac:dyDescent="0.25">
      <c r="A122" s="160" t="s">
        <v>128</v>
      </c>
      <c r="B122" s="160" t="s">
        <v>87</v>
      </c>
      <c r="C122" s="160">
        <f>$H$91</f>
        <v>4000000</v>
      </c>
    </row>
    <row r="124" spans="1:4" x14ac:dyDescent="0.25">
      <c r="B124" s="160" t="s">
        <v>128</v>
      </c>
      <c r="C124" s="160">
        <f>IF(C123+H5*31&lt;=C122,C80,0)</f>
        <v>4000000</v>
      </c>
    </row>
    <row r="126" spans="1:4" x14ac:dyDescent="0.25">
      <c r="A126" s="160" t="s">
        <v>129</v>
      </c>
      <c r="B126" s="160" t="s">
        <v>129</v>
      </c>
      <c r="C126" s="160">
        <f>IF(C13=0,C3-C4+SUMIF(C10:C12,"Так",D10:D12),C13)</f>
        <v>100000.00000000003</v>
      </c>
    </row>
    <row r="128" spans="1:4" x14ac:dyDescent="0.25">
      <c r="A128" s="160" t="s">
        <v>130</v>
      </c>
      <c r="B128" s="160" t="s">
        <v>94</v>
      </c>
    </row>
    <row r="129" spans="1:3" x14ac:dyDescent="0.25">
      <c r="A129" s="160" t="s">
        <v>131</v>
      </c>
      <c r="B129" s="160" t="s">
        <v>94</v>
      </c>
    </row>
    <row r="130" spans="1:3" x14ac:dyDescent="0.25">
      <c r="A130" s="160" t="s">
        <v>132</v>
      </c>
      <c r="B130" s="160" t="s">
        <v>94</v>
      </c>
    </row>
    <row r="132" spans="1:3" x14ac:dyDescent="0.25">
      <c r="A132" s="160" t="s">
        <v>133</v>
      </c>
      <c r="B132" s="160" t="s">
        <v>103</v>
      </c>
      <c r="C132" s="160">
        <f>H88</f>
        <v>0.5</v>
      </c>
    </row>
    <row r="133" spans="1:3" x14ac:dyDescent="0.25">
      <c r="B133" s="160" t="s">
        <v>133</v>
      </c>
      <c r="C133" s="160">
        <f>IF(C5&gt;0,C132*C5,0)</f>
        <v>2500000</v>
      </c>
    </row>
    <row r="135" spans="1:3" x14ac:dyDescent="0.25">
      <c r="B135" s="160" t="s">
        <v>134</v>
      </c>
      <c r="C135" s="160">
        <f>ROUNDDOWN(MAX(MIN(C82,C97,C101,C114,C120,C124,C126,C133),0)*H89,-2)</f>
        <v>100000</v>
      </c>
    </row>
    <row r="138" spans="1:3" x14ac:dyDescent="0.25">
      <c r="B138" s="160" t="s">
        <v>135</v>
      </c>
    </row>
    <row r="139" spans="1:3" x14ac:dyDescent="0.25">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25">
      <c r="A140" s="160" t="s">
        <v>138</v>
      </c>
      <c r="B140" s="160" t="s">
        <v>139</v>
      </c>
      <c r="C140" s="160">
        <f>IFERROR(MAX(C19,'Таблиця МП_БВС'!I4*MAX('Таблиця МП_БВС'!$E$3:$E$47)*H85),0)</f>
        <v>8621.2398426</v>
      </c>
    </row>
    <row r="141" spans="1:3" x14ac:dyDescent="0.25">
      <c r="A141" s="160" t="s">
        <v>140</v>
      </c>
      <c r="B141" s="160" t="s">
        <v>141</v>
      </c>
      <c r="C141" s="160">
        <f>MAX(C92-C140-C54-C55,0)</f>
        <v>1601378.7601574</v>
      </c>
    </row>
    <row r="142" spans="1:3" x14ac:dyDescent="0.25">
      <c r="A142" s="160" t="s">
        <v>142</v>
      </c>
      <c r="B142" s="160" t="s">
        <v>143</v>
      </c>
      <c r="C142" s="160">
        <f>IF(C92=0,0,C92/(C140+C54+C55+C139))</f>
        <v>38.666816356547358</v>
      </c>
    </row>
    <row r="143" spans="1:3" x14ac:dyDescent="0.25">
      <c r="A143" s="160" t="s">
        <v>144</v>
      </c>
      <c r="B143" s="160" t="s">
        <v>145</v>
      </c>
      <c r="C143" s="160">
        <f>IF(C92=0,0,(C139+C54+C55)/C92)</f>
        <v>2.050716149068323E-2</v>
      </c>
    </row>
    <row r="144" spans="1:3" x14ac:dyDescent="0.25">
      <c r="A144" s="160" t="s">
        <v>146</v>
      </c>
      <c r="B144" s="160" t="s">
        <v>147</v>
      </c>
      <c r="C144" s="160">
        <f>IF(C5=0,0,C135*(1+H6/100*31/360)/C5)</f>
        <v>2.016016666666667E-2</v>
      </c>
    </row>
    <row r="145" spans="1:4" x14ac:dyDescent="0.25">
      <c r="A145" s="160" t="s">
        <v>148</v>
      </c>
      <c r="B145" s="160" t="s">
        <v>149</v>
      </c>
      <c r="C145" s="160">
        <f>IF(C58="I",C59,C59/4)</f>
        <v>0</v>
      </c>
    </row>
    <row r="146" spans="1:4" x14ac:dyDescent="0.25">
      <c r="B146" s="160" t="s">
        <v>150</v>
      </c>
      <c r="C146" s="160">
        <f>IF(C58="I",C60,
IF(C58="II",C60,
IF(C58="III",C60/2,
IF(C58="IV",C60/3,0))))</f>
        <v>0</v>
      </c>
      <c r="D146" s="160" t="s">
        <v>151</v>
      </c>
    </row>
    <row r="147" spans="1:4" x14ac:dyDescent="0.25">
      <c r="B147" s="160" t="s">
        <v>152</v>
      </c>
      <c r="C147" s="160" t="str">
        <f>IF(OR(C145=0,C146=0),"Позич не здійснює п.д.",IF(C58="I",(C145/C146-1)*100%,(C146/C145-1)*100%))</f>
        <v>Позич не здійснює п.д.</v>
      </c>
    </row>
    <row r="149" spans="1:4" x14ac:dyDescent="0.25">
      <c r="B149" s="160" t="s">
        <v>153</v>
      </c>
    </row>
    <row r="150" spans="1:4" x14ac:dyDescent="0.25">
      <c r="A150" s="160">
        <v>1</v>
      </c>
      <c r="B150" s="160" t="s">
        <v>143</v>
      </c>
      <c r="C150" s="160">
        <f>IF(C142&lt;=0.5,0,IF(C142&lt;=1,600,IF(C142&lt;=1.05,1000,IF(C142&lt;=1.1,1200,IF(C142&lt;=1.15,1400,1500)))))</f>
        <v>1500</v>
      </c>
    </row>
    <row r="151" spans="1:4" x14ac:dyDescent="0.25">
      <c r="A151" s="160">
        <v>2</v>
      </c>
      <c r="B151" s="160" t="s">
        <v>147</v>
      </c>
      <c r="C151" s="160">
        <f>IF(C144&lt;0.5,1250,IF(C144&lt;0.7,1000,IF(C144&lt;0.8,750,IF(C144&lt;1,500,IF(C144&lt;1.3,250,0)))))</f>
        <v>1250</v>
      </c>
    </row>
    <row r="152" spans="1:4" x14ac:dyDescent="0.25">
      <c r="A152" s="160">
        <v>3</v>
      </c>
      <c r="B152" s="160" t="s">
        <v>145</v>
      </c>
      <c r="C152" s="160">
        <f>IF(C143&lt;0.85,1000,IF(C143&lt;0.9,800,IF(C143&lt;0.95,600,IF(C143&lt;1,400,200))))</f>
        <v>1000</v>
      </c>
    </row>
    <row r="153" spans="1:4" x14ac:dyDescent="0.25">
      <c r="A153" s="160">
        <v>4</v>
      </c>
      <c r="B153" s="160" t="s">
        <v>154</v>
      </c>
      <c r="C153" s="160">
        <f>IF(C141&gt;=C139,500,0)</f>
        <v>500</v>
      </c>
    </row>
    <row r="154" spans="1:4" x14ac:dyDescent="0.25">
      <c r="B154" s="160" t="s">
        <v>155</v>
      </c>
    </row>
    <row r="155" spans="1:4" x14ac:dyDescent="0.25">
      <c r="A155" s="160">
        <v>5</v>
      </c>
      <c r="B155" s="160" t="s">
        <v>156</v>
      </c>
      <c r="C155" s="160">
        <f>IF(C24&lt;=35,84,IF(C24&lt;=83,87,IF(C24&lt;=195,92,98)))</f>
        <v>84</v>
      </c>
    </row>
    <row r="156" spans="1:4" x14ac:dyDescent="0.25">
      <c r="A156" s="160">
        <v>6</v>
      </c>
      <c r="B156" s="160" t="s">
        <v>33</v>
      </c>
      <c r="C156" s="160">
        <f>SUM(C157:C160)</f>
        <v>87</v>
      </c>
    </row>
    <row r="157" spans="1:4" x14ac:dyDescent="0.25">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161</v>
      </c>
      <c r="C161" s="160">
        <f ca="1">IF(DATEDIF(H20,TODAY(),"Y")&lt;=25,87,
IF(DATEDIF(H20,TODAY(),"Y")&lt;=40,88,
IF(DATEDIF(H20,TODAY(),"Y")&lt;=48,89,
IF(DATEDIF(H20,TODAY(),"Y")&lt;=55,92,93))))</f>
        <v>88</v>
      </c>
    </row>
    <row r="162" spans="1:3" x14ac:dyDescent="0.25">
      <c r="A162" s="160">
        <v>8</v>
      </c>
      <c r="B162" s="160" t="s">
        <v>162</v>
      </c>
      <c r="C162" s="160">
        <f>SUM(C163:C165)</f>
        <v>92</v>
      </c>
    </row>
    <row r="163" spans="1:3" x14ac:dyDescent="0.25">
      <c r="B163" s="160" t="s">
        <v>157</v>
      </c>
      <c r="C163" s="160">
        <f>IF(AND(H18="не одружений(на)",H19&gt;0),92,
IF(AND(H18="не одружений(на)",H19=0),92,
IF(AND(H18="розлучений(на)",H19&gt;0),92,
IF(AND(H18="не зареєстрований шлюб",H19=0),92,0))))</f>
        <v>92</v>
      </c>
    </row>
    <row r="164" spans="1:3" x14ac:dyDescent="0.25">
      <c r="B164" s="160" t="s">
        <v>158</v>
      </c>
      <c r="C164" s="160">
        <f>IF(AND(H18="вдова/вдівець",H19=0),90,
IF(AND(H18="одружений(на)",H19&gt;0),90,
IF(AND(H18="не зареєстрований шлюб",H19&gt;0),90,0)))</f>
        <v>0</v>
      </c>
    </row>
    <row r="165" spans="1:3" x14ac:dyDescent="0.25">
      <c r="B165" s="160" t="s">
        <v>159</v>
      </c>
      <c r="C165" s="160">
        <f>IF(AND(H18="вдова/вдівець",H19&gt;0),88,
IF(AND(H18="одружений(на)",H19=0),88,
IF(AND(H18="розлучений(на)",H19=0),88,0)))</f>
        <v>0</v>
      </c>
    </row>
    <row r="166" spans="1:3" x14ac:dyDescent="0.25">
      <c r="A166" s="160">
        <v>9</v>
      </c>
      <c r="B166" s="160" t="s">
        <v>163</v>
      </c>
      <c r="C166" s="160">
        <f>IF(C25&lt;=7,200,IF(C25&lt;=30,100,IF(C25&lt;=60,50,IF(C25&lt;=90,25,0))))</f>
        <v>200</v>
      </c>
    </row>
    <row r="167" spans="1:3" x14ac:dyDescent="0.25">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165</v>
      </c>
      <c r="B169" s="160" t="s">
        <v>166</v>
      </c>
      <c r="C169" s="160">
        <f ca="1">SUM(C150:C153)+MIN(0.3/0.7*SUM(C150:C153),C155+C156+C161+C162+C166+C167)</f>
        <v>4974</v>
      </c>
    </row>
    <row r="170" spans="1:3" x14ac:dyDescent="0.25">
      <c r="B170" s="160" t="s">
        <v>167</v>
      </c>
      <c r="C170" s="160">
        <f ca="1">IF(C169&lt;1250,5,IF(C169&lt;2000,4,IF(C169&lt;3000,3,IF(C169&lt;3500,2,1))))</f>
        <v>1</v>
      </c>
    </row>
    <row r="171" spans="1:3" x14ac:dyDescent="0.25">
      <c r="B171" s="160" t="s">
        <v>168</v>
      </c>
      <c r="C171" s="160">
        <f>IF(C143&lt;=0.5,1,IF(C143&lt;=0.6,2,IF(C143&lt;=0.7,3,IF(C143&lt;=0.8,4,5))))</f>
        <v>1</v>
      </c>
    </row>
    <row r="172" spans="1:3" x14ac:dyDescent="0.25">
      <c r="B172" s="160" t="s">
        <v>169</v>
      </c>
      <c r="C172" s="160">
        <f>IF(C25&lt;=7,1,IF(C25&lt;=30,2,IF(C25&lt;=60,3,IF(C25&lt;=90,4,5))))</f>
        <v>1</v>
      </c>
    </row>
    <row r="174" spans="1:3" x14ac:dyDescent="0.25">
      <c r="B174" s="160" t="s">
        <v>170</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5" priority="1" operator="containsText" text="Поручитель неплатоспроможний">
      <formula>NOT(ISERROR(SEARCH("Поручитель неплатоспроможний",C112)))</formula>
    </cfRule>
    <cfRule type="containsText" dxfId="64" priority="2" operator="containsText" text="Поручитель платоспроможний">
      <formula>NOT(ISERROR(SEARCH("Поручитель платоспроможний",C112)))</formula>
    </cfRule>
  </conditionalFormatting>
  <conditionalFormatting sqref="D1">
    <cfRule type="expression" dxfId="63"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87</xdr:col>
                <xdr:colOff>0</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2" width="0" style="160" hidden="1" customWidth="1"/>
    <col min="63" max="16384" width="8.7109375" style="160"/>
  </cols>
  <sheetData>
    <row r="1" spans="1:9" x14ac:dyDescent="0.25">
      <c r="A1" s="160" t="s">
        <v>419</v>
      </c>
      <c r="B1" s="158"/>
      <c r="C1" s="159"/>
      <c r="D1" s="159"/>
      <c r="H1" s="160" t="s">
        <v>420</v>
      </c>
    </row>
    <row r="2" spans="1:9" x14ac:dyDescent="0.25">
      <c r="A2" s="160" t="s">
        <v>421</v>
      </c>
      <c r="B2" s="161" t="s">
        <v>422</v>
      </c>
      <c r="C2" s="162" t="s">
        <v>423</v>
      </c>
      <c r="D2" s="162" t="s">
        <v>424</v>
      </c>
      <c r="E2" s="160" t="s">
        <v>122</v>
      </c>
      <c r="F2" s="160" t="s">
        <v>425</v>
      </c>
      <c r="H2" s="160" t="s">
        <v>426</v>
      </c>
      <c r="I2" s="160" t="s">
        <v>118</v>
      </c>
    </row>
    <row r="3" spans="1:9" x14ac:dyDescent="0.25">
      <c r="A3" s="160">
        <v>1</v>
      </c>
      <c r="B3" s="160" t="s">
        <v>28</v>
      </c>
      <c r="C3" s="163" t="s">
        <v>427</v>
      </c>
      <c r="D3" s="163" t="s">
        <v>428</v>
      </c>
      <c r="E3" s="160">
        <v>1.33</v>
      </c>
    </row>
    <row r="4" spans="1:9" x14ac:dyDescent="0.25">
      <c r="A4" s="160">
        <v>2</v>
      </c>
      <c r="B4" s="160" t="s">
        <v>429</v>
      </c>
      <c r="C4" s="163" t="s">
        <v>430</v>
      </c>
      <c r="D4" s="163" t="s">
        <v>431</v>
      </c>
      <c r="E4" s="160">
        <v>1.19</v>
      </c>
      <c r="F4" s="160" t="s">
        <v>432</v>
      </c>
      <c r="H4" s="160">
        <v>1</v>
      </c>
      <c r="I4" s="160">
        <v>5120.17</v>
      </c>
    </row>
    <row r="5" spans="1:9" x14ac:dyDescent="0.25">
      <c r="A5" s="160">
        <v>3</v>
      </c>
      <c r="B5" s="160" t="s">
        <v>433</v>
      </c>
      <c r="C5" s="163" t="s">
        <v>434</v>
      </c>
      <c r="D5" s="163"/>
      <c r="E5" s="160">
        <v>1.19</v>
      </c>
      <c r="H5" s="160">
        <v>2</v>
      </c>
      <c r="I5" s="160">
        <v>8474.64</v>
      </c>
    </row>
    <row r="6" spans="1:9" x14ac:dyDescent="0.25">
      <c r="A6" s="160">
        <v>4</v>
      </c>
      <c r="B6" s="160" t="s">
        <v>435</v>
      </c>
      <c r="C6" s="163" t="s">
        <v>427</v>
      </c>
      <c r="D6" s="163"/>
      <c r="E6" s="160">
        <v>1.19</v>
      </c>
      <c r="H6" s="160">
        <v>3</v>
      </c>
      <c r="I6" s="160">
        <v>11256.9</v>
      </c>
    </row>
    <row r="7" spans="1:9" x14ac:dyDescent="0.25">
      <c r="A7" s="160">
        <v>5</v>
      </c>
      <c r="B7" s="160" t="s">
        <v>436</v>
      </c>
      <c r="C7" s="163" t="s">
        <v>427</v>
      </c>
      <c r="D7" s="163"/>
      <c r="E7" s="160">
        <v>1.19</v>
      </c>
      <c r="H7" s="160">
        <v>4</v>
      </c>
      <c r="I7" s="160">
        <v>12676.98</v>
      </c>
    </row>
    <row r="8" spans="1:9" x14ac:dyDescent="0.25">
      <c r="A8" s="160">
        <v>6</v>
      </c>
      <c r="B8" s="160" t="s">
        <v>437</v>
      </c>
      <c r="C8" s="163" t="s">
        <v>438</v>
      </c>
      <c r="D8" s="163"/>
      <c r="E8" s="160">
        <v>1.19</v>
      </c>
      <c r="H8" s="160" t="s">
        <v>439</v>
      </c>
      <c r="I8" s="160" t="s">
        <v>440</v>
      </c>
    </row>
    <row r="9" spans="1:9" x14ac:dyDescent="0.25">
      <c r="A9" s="160">
        <v>7</v>
      </c>
      <c r="B9" s="160" t="s">
        <v>441</v>
      </c>
      <c r="C9" s="163" t="s">
        <v>442</v>
      </c>
      <c r="D9" s="163"/>
      <c r="E9" s="160">
        <v>1.19</v>
      </c>
    </row>
    <row r="10" spans="1:9" x14ac:dyDescent="0.25">
      <c r="A10" s="160">
        <v>8</v>
      </c>
      <c r="B10" s="160" t="s">
        <v>443</v>
      </c>
      <c r="C10" s="163" t="s">
        <v>444</v>
      </c>
      <c r="D10" s="163"/>
      <c r="E10" s="160">
        <v>1.19</v>
      </c>
      <c r="H10" s="160" t="s">
        <v>445</v>
      </c>
    </row>
    <row r="11" spans="1:9" x14ac:dyDescent="0.25">
      <c r="A11" s="160">
        <v>9</v>
      </c>
      <c r="B11" s="160" t="s">
        <v>446</v>
      </c>
      <c r="C11" s="160" t="s">
        <v>442</v>
      </c>
      <c r="E11" s="160">
        <v>1.19</v>
      </c>
      <c r="H11" s="160" t="s">
        <v>447</v>
      </c>
      <c r="I11" s="160" t="s">
        <v>448</v>
      </c>
    </row>
    <row r="12" spans="1:9" x14ac:dyDescent="0.25">
      <c r="A12" s="160">
        <v>10</v>
      </c>
      <c r="B12" s="161" t="s">
        <v>449</v>
      </c>
      <c r="C12" s="161" t="s">
        <v>450</v>
      </c>
      <c r="E12" s="160">
        <v>1.19</v>
      </c>
      <c r="H12" s="160" t="s">
        <v>451</v>
      </c>
      <c r="I12" s="160">
        <v>5.0000000000000001E-3</v>
      </c>
    </row>
    <row r="13" spans="1:9" x14ac:dyDescent="0.25">
      <c r="A13" s="160">
        <v>11</v>
      </c>
      <c r="B13" s="160" t="s">
        <v>452</v>
      </c>
      <c r="C13" s="163" t="s">
        <v>453</v>
      </c>
      <c r="E13" s="160">
        <v>1.19</v>
      </c>
      <c r="H13" s="160" t="s">
        <v>454</v>
      </c>
      <c r="I13" s="160">
        <v>0.01</v>
      </c>
    </row>
    <row r="14" spans="1:9" x14ac:dyDescent="0.25">
      <c r="A14" s="160">
        <v>12</v>
      </c>
      <c r="B14" s="160" t="s">
        <v>455</v>
      </c>
      <c r="C14" s="163" t="s">
        <v>434</v>
      </c>
      <c r="E14" s="160">
        <v>1.19</v>
      </c>
      <c r="H14" s="160" t="s">
        <v>456</v>
      </c>
      <c r="I14" s="160">
        <v>2.5000000000000001E-2</v>
      </c>
    </row>
    <row r="15" spans="1:9" x14ac:dyDescent="0.25">
      <c r="A15" s="160">
        <v>13</v>
      </c>
      <c r="B15" s="160" t="s">
        <v>457</v>
      </c>
      <c r="C15" s="163" t="s">
        <v>458</v>
      </c>
      <c r="E15" s="160">
        <v>1.19</v>
      </c>
    </row>
    <row r="16" spans="1:9" x14ac:dyDescent="0.25">
      <c r="A16" s="160">
        <v>14</v>
      </c>
      <c r="B16" s="160" t="s">
        <v>459</v>
      </c>
      <c r="C16" s="163" t="s">
        <v>444</v>
      </c>
      <c r="E16" s="160">
        <v>1.19</v>
      </c>
    </row>
    <row r="17" spans="1:9" x14ac:dyDescent="0.25">
      <c r="A17" s="160">
        <v>15</v>
      </c>
      <c r="B17" s="160" t="s">
        <v>460</v>
      </c>
      <c r="C17" s="163" t="s">
        <v>450</v>
      </c>
      <c r="E17" s="160">
        <v>1.19</v>
      </c>
      <c r="H17" s="160" t="s">
        <v>461</v>
      </c>
    </row>
    <row r="18" spans="1:9" x14ac:dyDescent="0.25">
      <c r="A18" s="160">
        <v>16</v>
      </c>
      <c r="B18" s="160" t="s">
        <v>462</v>
      </c>
      <c r="C18" s="160" t="s">
        <v>442</v>
      </c>
      <c r="E18" s="160">
        <v>1.19</v>
      </c>
      <c r="H18" s="160" t="s">
        <v>463</v>
      </c>
      <c r="I18" s="160" t="s">
        <v>464</v>
      </c>
    </row>
    <row r="19" spans="1:9" x14ac:dyDescent="0.25">
      <c r="A19" s="160">
        <v>17</v>
      </c>
      <c r="B19" s="160" t="s">
        <v>465</v>
      </c>
      <c r="C19" s="160" t="s">
        <v>466</v>
      </c>
      <c r="E19" s="160">
        <v>1.19</v>
      </c>
    </row>
    <row r="20" spans="1:9" x14ac:dyDescent="0.25">
      <c r="A20" s="160">
        <v>18</v>
      </c>
      <c r="B20" s="160" t="s">
        <v>467</v>
      </c>
      <c r="C20" s="160" t="s">
        <v>444</v>
      </c>
      <c r="E20" s="160">
        <v>1.19</v>
      </c>
    </row>
    <row r="21" spans="1:9" x14ac:dyDescent="0.25">
      <c r="A21" s="160">
        <v>19</v>
      </c>
      <c r="B21" s="160" t="s">
        <v>468</v>
      </c>
      <c r="C21" s="160" t="s">
        <v>469</v>
      </c>
      <c r="E21" s="160">
        <v>1.19</v>
      </c>
    </row>
    <row r="22" spans="1:9" x14ac:dyDescent="0.25">
      <c r="A22" s="160">
        <v>20</v>
      </c>
      <c r="B22" s="160" t="s">
        <v>470</v>
      </c>
      <c r="C22" s="160" t="s">
        <v>430</v>
      </c>
      <c r="E22" s="160">
        <v>1.19</v>
      </c>
    </row>
    <row r="23" spans="1:9" x14ac:dyDescent="0.25">
      <c r="A23" s="160">
        <v>21</v>
      </c>
      <c r="B23" s="160" t="s">
        <v>471</v>
      </c>
      <c r="C23" s="160" t="s">
        <v>472</v>
      </c>
      <c r="E23" s="160">
        <v>1.19</v>
      </c>
    </row>
    <row r="24" spans="1:9" x14ac:dyDescent="0.25">
      <c r="A24" s="160">
        <v>22</v>
      </c>
      <c r="B24" s="160" t="s">
        <v>473</v>
      </c>
      <c r="C24" s="160" t="s">
        <v>474</v>
      </c>
      <c r="E24" s="160">
        <v>1.19</v>
      </c>
    </row>
    <row r="25" spans="1:9" x14ac:dyDescent="0.25">
      <c r="A25" s="160">
        <v>23</v>
      </c>
      <c r="B25" s="160" t="s">
        <v>475</v>
      </c>
      <c r="C25" s="160" t="s">
        <v>442</v>
      </c>
      <c r="E25" s="160">
        <v>1.19</v>
      </c>
    </row>
    <row r="26" spans="1:9" x14ac:dyDescent="0.25">
      <c r="A26" s="160">
        <v>24</v>
      </c>
      <c r="B26" s="160" t="s">
        <v>476</v>
      </c>
      <c r="C26" s="160" t="s">
        <v>442</v>
      </c>
      <c r="E26" s="160">
        <v>1.19</v>
      </c>
    </row>
    <row r="27" spans="1:9" x14ac:dyDescent="0.25">
      <c r="A27" s="160">
        <v>25</v>
      </c>
      <c r="B27" s="160" t="s">
        <v>477</v>
      </c>
      <c r="C27" s="160" t="s">
        <v>434</v>
      </c>
      <c r="E27" s="160">
        <v>1.19</v>
      </c>
    </row>
    <row r="28" spans="1:9" x14ac:dyDescent="0.25">
      <c r="A28" s="160">
        <v>26</v>
      </c>
      <c r="B28" s="160" t="s">
        <v>478</v>
      </c>
      <c r="C28" s="160" t="s">
        <v>479</v>
      </c>
      <c r="E28" s="160">
        <v>1.19</v>
      </c>
    </row>
    <row r="29" spans="1:9" x14ac:dyDescent="0.25">
      <c r="A29" s="160">
        <v>27</v>
      </c>
      <c r="B29" s="160" t="s">
        <v>480</v>
      </c>
      <c r="C29" s="160" t="s">
        <v>444</v>
      </c>
      <c r="E29" s="160">
        <v>1.19</v>
      </c>
    </row>
    <row r="30" spans="1:9" x14ac:dyDescent="0.25">
      <c r="A30" s="160">
        <v>28</v>
      </c>
      <c r="B30" s="160" t="s">
        <v>481</v>
      </c>
      <c r="C30" s="160" t="s">
        <v>482</v>
      </c>
      <c r="E30" s="160">
        <v>1.19</v>
      </c>
    </row>
    <row r="31" spans="1:9" x14ac:dyDescent="0.25">
      <c r="A31" s="160">
        <v>29</v>
      </c>
      <c r="B31" s="160" t="s">
        <v>483</v>
      </c>
      <c r="C31" s="160" t="s">
        <v>444</v>
      </c>
      <c r="E31" s="160">
        <v>1.19</v>
      </c>
    </row>
    <row r="32" spans="1:9" x14ac:dyDescent="0.25">
      <c r="A32" s="160">
        <v>30</v>
      </c>
      <c r="B32" s="160" t="s">
        <v>484</v>
      </c>
      <c r="C32" s="160" t="s">
        <v>466</v>
      </c>
      <c r="E32" s="160">
        <v>1.19</v>
      </c>
    </row>
    <row r="33" spans="1:6" x14ac:dyDescent="0.25">
      <c r="A33" s="160">
        <v>31</v>
      </c>
      <c r="B33" s="160" t="s">
        <v>485</v>
      </c>
      <c r="C33" s="160" t="s">
        <v>486</v>
      </c>
      <c r="E33" s="160">
        <v>1.19</v>
      </c>
    </row>
    <row r="34" spans="1:6" x14ac:dyDescent="0.25">
      <c r="A34" s="160">
        <v>32</v>
      </c>
      <c r="B34" s="160" t="s">
        <v>487</v>
      </c>
      <c r="C34" s="160" t="s">
        <v>488</v>
      </c>
      <c r="E34" s="160">
        <v>1.19</v>
      </c>
    </row>
    <row r="35" spans="1:6" x14ac:dyDescent="0.25">
      <c r="A35" s="160">
        <v>33</v>
      </c>
      <c r="B35" s="160" t="s">
        <v>489</v>
      </c>
      <c r="C35" s="160" t="s">
        <v>430</v>
      </c>
      <c r="E35" s="160">
        <v>1.19</v>
      </c>
    </row>
    <row r="36" spans="1:6" x14ac:dyDescent="0.25">
      <c r="A36" s="160">
        <v>34</v>
      </c>
      <c r="B36" s="160" t="s">
        <v>490</v>
      </c>
      <c r="C36" s="160" t="s">
        <v>450</v>
      </c>
      <c r="E36" s="160">
        <v>1.19</v>
      </c>
    </row>
    <row r="37" spans="1:6" x14ac:dyDescent="0.25">
      <c r="A37" s="160">
        <v>35</v>
      </c>
      <c r="B37" s="160" t="s">
        <v>491</v>
      </c>
      <c r="C37" s="160" t="s">
        <v>442</v>
      </c>
      <c r="E37" s="160">
        <v>1.19</v>
      </c>
    </row>
    <row r="38" spans="1:6" x14ac:dyDescent="0.25">
      <c r="A38" s="160">
        <v>36</v>
      </c>
      <c r="B38" s="160" t="s">
        <v>492</v>
      </c>
      <c r="C38" s="160" t="s">
        <v>493</v>
      </c>
      <c r="E38" s="160">
        <v>1.19</v>
      </c>
    </row>
    <row r="39" spans="1:6" x14ac:dyDescent="0.25">
      <c r="A39" s="160">
        <v>37</v>
      </c>
      <c r="B39" s="160" t="s">
        <v>494</v>
      </c>
      <c r="C39" s="160" t="s">
        <v>495</v>
      </c>
      <c r="E39" s="160">
        <v>1.19</v>
      </c>
    </row>
    <row r="40" spans="1:6" x14ac:dyDescent="0.25">
      <c r="A40" s="160">
        <v>38</v>
      </c>
      <c r="B40" s="160" t="s">
        <v>496</v>
      </c>
      <c r="C40" s="160" t="s">
        <v>497</v>
      </c>
      <c r="E40" s="160">
        <v>1.19</v>
      </c>
    </row>
    <row r="41" spans="1:6" x14ac:dyDescent="0.25">
      <c r="A41" s="160">
        <v>39</v>
      </c>
      <c r="B41" s="160" t="s">
        <v>498</v>
      </c>
      <c r="C41" s="160" t="s">
        <v>499</v>
      </c>
      <c r="E41" s="160">
        <v>1.19</v>
      </c>
    </row>
    <row r="42" spans="1:6" x14ac:dyDescent="0.25">
      <c r="A42" s="160">
        <v>40</v>
      </c>
      <c r="B42" s="160" t="s">
        <v>500</v>
      </c>
      <c r="C42" s="160" t="s">
        <v>501</v>
      </c>
      <c r="E42" s="160">
        <v>1.19</v>
      </c>
    </row>
    <row r="43" spans="1:6" x14ac:dyDescent="0.25">
      <c r="A43" s="160">
        <v>41</v>
      </c>
      <c r="B43" s="160" t="s">
        <v>502</v>
      </c>
      <c r="C43" s="160" t="s">
        <v>503</v>
      </c>
      <c r="E43" s="160">
        <v>1.19</v>
      </c>
    </row>
    <row r="44" spans="1:6" x14ac:dyDescent="0.25">
      <c r="A44" s="160">
        <v>42</v>
      </c>
      <c r="B44" s="160" t="s">
        <v>504</v>
      </c>
      <c r="C44" s="160" t="s">
        <v>505</v>
      </c>
      <c r="E44" s="160">
        <v>1.19</v>
      </c>
    </row>
    <row r="45" spans="1:6" x14ac:dyDescent="0.25">
      <c r="A45" s="160">
        <v>43</v>
      </c>
      <c r="B45" s="160" t="s">
        <v>506</v>
      </c>
      <c r="C45" s="160" t="s">
        <v>507</v>
      </c>
      <c r="E45" s="160">
        <v>1.19</v>
      </c>
    </row>
    <row r="46" spans="1:6" x14ac:dyDescent="0.25">
      <c r="A46" s="160">
        <v>44</v>
      </c>
      <c r="B46" s="160" t="s">
        <v>508</v>
      </c>
      <c r="C46" s="160" t="s">
        <v>509</v>
      </c>
      <c r="E46" s="160">
        <v>1.19</v>
      </c>
    </row>
    <row r="47" spans="1:6" x14ac:dyDescent="0.25">
      <c r="A47" s="160">
        <v>45</v>
      </c>
      <c r="B47" s="160" t="s">
        <v>510</v>
      </c>
      <c r="C47" s="160" t="s">
        <v>511</v>
      </c>
      <c r="D47" s="160" t="s">
        <v>512</v>
      </c>
      <c r="E47" s="160">
        <v>1</v>
      </c>
      <c r="F47" s="160" t="s">
        <v>513</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76" width="0" style="160" hidden="1" customWidth="1"/>
    <col min="77" max="16384" width="8.7109375" style="160"/>
  </cols>
  <sheetData>
    <row r="1" spans="1:15" x14ac:dyDescent="0.25">
      <c r="A1" s="160" t="s">
        <v>171</v>
      </c>
      <c r="B1" s="158">
        <f>((E1*POWER(1+(E2/12),E3)*(E2/12)))/(POWER(1+(E2/12),E3)-1)</f>
        <v>77500.000000000087</v>
      </c>
      <c r="C1" s="159">
        <f>PMT(E2/12,E3,-E1)</f>
        <v>77500.000000000087</v>
      </c>
      <c r="D1" s="159" t="s">
        <v>172</v>
      </c>
      <c r="E1" s="160">
        <f>'Платоспроможність боржника'!C135</f>
        <v>100000</v>
      </c>
      <c r="H1" s="160" t="s">
        <v>173</v>
      </c>
      <c r="J1" s="160">
        <f ca="1">TODAY()</f>
        <v>46118</v>
      </c>
      <c r="O1" s="160" t="s">
        <v>174</v>
      </c>
    </row>
    <row r="2" spans="1:15" x14ac:dyDescent="0.25">
      <c r="A2" s="160" t="s">
        <v>175</v>
      </c>
      <c r="B2" s="161">
        <f>E1*(E2/12)</f>
        <v>77500</v>
      </c>
      <c r="C2" s="162">
        <f>IPMT(E2/12,1,E3,-(E1))</f>
        <v>77500</v>
      </c>
      <c r="D2" s="162" t="s">
        <v>176</v>
      </c>
      <c r="E2" s="160">
        <f>'Платоспроможність боржника'!H6</f>
        <v>9.3000000000000007</v>
      </c>
      <c r="F2" s="160" t="s">
        <v>177</v>
      </c>
      <c r="G2" s="160" t="s">
        <v>178</v>
      </c>
      <c r="H2" s="160" t="s">
        <v>179</v>
      </c>
    </row>
    <row r="3" spans="1:15" x14ac:dyDescent="0.25">
      <c r="A3" s="160" t="s">
        <v>180</v>
      </c>
      <c r="B3" s="160">
        <f>B1-B2</f>
        <v>0</v>
      </c>
      <c r="C3" s="163">
        <f>PPMT(E2/12,1,E3,-E1)</f>
        <v>8.6576546705518897E-11</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25">
      <c r="A4" s="160" t="s">
        <v>189</v>
      </c>
      <c r="C4" s="163">
        <f ca="1">TODAY()</f>
        <v>46118</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25">
      <c r="A5" s="160" t="s">
        <v>193</v>
      </c>
      <c r="B5" s="160">
        <v>1</v>
      </c>
      <c r="C5" s="163">
        <v>1</v>
      </c>
      <c r="D5" s="163" t="s">
        <v>194</v>
      </c>
      <c r="E5" s="160" t="s">
        <v>195</v>
      </c>
      <c r="F5" s="160">
        <f ca="1">IF(G5="Всього:","",IF(AND(G5&gt;$B$9,G5&lt;=$B$10),$C$16,IF(AND(G5&gt;$B$9,G5&lt;=$B$11),$D$16,IF(AND(G5&gt;$B$10,G5&lt;=$B$14),$E$16,$B$16))))</f>
        <v>9.3000000000000007</v>
      </c>
      <c r="G5" s="160">
        <f ca="1">IF(AND(DAY(C4)&lt;=15,$B$7&gt;DAY(C4)),DATE(YEAR(C4),MONTH(C4),IF($B$7&lt;&gt;"",DAY(IF($B$7&gt;DAY(EOMONTH(C4,0)),EOMONTH(C4,0),$B$7)),DAY(1))),DATE(YEAR(C4),MONTH(C4)+1,IF($B$7&lt;&gt;"",DAY(IF($B$7&gt;DAY(EOMONTH(C4,1)),EOMONTH(C4,1),$B$7)),DAY(1))))</f>
        <v>46143</v>
      </c>
      <c r="H5" s="160">
        <f ca="1">IF(H4&gt;$E$8,"",H4+1)</f>
        <v>1</v>
      </c>
      <c r="I5" s="160">
        <f ca="1">IF($G5="Всього:",SUM($I$4:I4),IF(AND(DAY($C$4)&gt;=15,H5=1),K5+L5,$C$32))</f>
        <v>3804</v>
      </c>
      <c r="J5" s="160">
        <f ca="1">IF($G5="Всього:",SUM($J$4:J4),IF(DAY(C4)&gt;15,0,IF(I5-SUM(K5:L5)&lt;0,0,I5-SUM(K5:L5))))</f>
        <v>3158.1666666666665</v>
      </c>
      <c r="K5" s="160">
        <f ca="1">$E$1*F5*(G5-$C$4)/36000</f>
        <v>645.83333333333348</v>
      </c>
      <c r="L5" s="160">
        <f>$E$4</f>
        <v>0</v>
      </c>
      <c r="M5" s="160">
        <f ca="1">IF($E$5="UAH",J5+L5+K5,J5+K5)</f>
        <v>3804</v>
      </c>
      <c r="N5" s="160" t="str">
        <f>IF($E$5="UAH","",L5)</f>
        <v/>
      </c>
      <c r="O5" s="160">
        <f t="shared" ref="O5:O68" ca="1" si="0">O4-J5</f>
        <v>96841.833333333328</v>
      </c>
    </row>
    <row r="6" spans="1:15" x14ac:dyDescent="0.25">
      <c r="A6" s="160" t="s">
        <v>196</v>
      </c>
      <c r="C6" s="163">
        <f>IF(E5="EUR",C1*E7,IF(E5="USD",C1*E6,C1))</f>
        <v>77500.000000000087</v>
      </c>
      <c r="D6" s="163"/>
      <c r="F6" s="160">
        <f t="shared" ref="F6:F69" ca="1" si="1">IF(G6="Всього:","",IF(AND(G6&gt;$B$9,G6&lt;=$B$10),$C$16,IF(AND(G6&gt;$B$9,G6&lt;=$B$11),$D$16,IF(AND(G6&gt;$B$10,G6&lt;=$B$14),$E$16,$B$16))))</f>
        <v>9.3000000000000007</v>
      </c>
      <c r="G6" s="160">
        <f ca="1">IF(H5=$E$8,"Всього:",IF($E$3+1=H6,$B$14,DATE(YEAR(G5),MONTH(G5)+1,IF($B$7&lt;&gt;"",DAY(IF($B$7&gt;DAY(EOMONTH(G5,1)),EOMONTH(G5,1),$B$7)),DAY(1)))))</f>
        <v>46174</v>
      </c>
      <c r="H6" s="160">
        <f t="shared" ref="H6:H69" ca="1" si="2">IF(H5&gt;$E$8,"",H5+1)</f>
        <v>2</v>
      </c>
      <c r="I6" s="160">
        <f ca="1">IF($G6="Всього:",SUM($I$4:I5),IF(AND(DAY($C$4)&gt;=15,H6=1),K6+L6,$C$32))</f>
        <v>3804</v>
      </c>
      <c r="J6" s="160">
        <f ca="1">IF($G6="Всього:",SUM($J$4:J5),IF(I6-SUM(K6:L6)&lt;0,0,I6-SUM(K6:L6)))</f>
        <v>3028.4583180555555</v>
      </c>
      <c r="K6" s="160">
        <f ca="1">IF(G6="Всього:",SUM($K$5:K5),IF(F6&lt;&gt;F5,(F6*O5/36000*(G6-CONCATENATE(DAY($C$4),".",MONTH(G5),".",YEAR(G5)))+(F5*O5/36000*(CONCATENATE(DAY($C$4),".",MONTH(G5),".",YEAR(G5))-G5))),F6*O5/36000*(G6-G5)))</f>
        <v>775.54168194444446</v>
      </c>
      <c r="L6" s="160">
        <f ca="1">IF(G6="Всього:",SUM($L$5:L5),$E$4)</f>
        <v>0</v>
      </c>
      <c r="M6" s="160">
        <f ca="1">IF(G6="Всього:",SUM($M$5:M5),IF($E$5="UAH",J6+L6+K6,J6+K6))</f>
        <v>3804</v>
      </c>
      <c r="N6" s="160" t="str">
        <f ca="1">IF(G6="Всього:",SUM($N$4:N5),IF($E$5="UAH","",L6))</f>
        <v/>
      </c>
      <c r="O6" s="160">
        <f t="shared" ca="1" si="0"/>
        <v>93813.375015277779</v>
      </c>
    </row>
    <row r="7" spans="1:15" x14ac:dyDescent="0.25">
      <c r="A7" s="160" t="s">
        <v>197</v>
      </c>
      <c r="B7" s="160">
        <v>1</v>
      </c>
      <c r="C7" s="163"/>
      <c r="D7" s="163"/>
      <c r="F7" s="160">
        <f t="shared" ca="1" si="1"/>
        <v>9.3000000000000007</v>
      </c>
      <c r="G7" s="160">
        <f t="shared" ref="G7:G70" ca="1" si="3">IF(H6=$E$8,"Всього:",IF($E$3+1=H7,$B$14,DATE(YEAR(G6),MONTH(G6)+1,IF($B$7&lt;&gt;"",DAY(IF($B$7&gt;DAY(EOMONTH(G6,1)),EOMONTH(G6,1),$B$7)),DAY(1)))))</f>
        <v>46204</v>
      </c>
      <c r="H7" s="160">
        <f t="shared" ca="1" si="2"/>
        <v>3</v>
      </c>
      <c r="I7" s="160">
        <f ca="1">IF($G7="Всього:",SUM($I$4:I6),IF(AND(DAY($C$4)&gt;=15,H7=1),K7+L7,$C$32))</f>
        <v>3804</v>
      </c>
      <c r="J7" s="160">
        <f ca="1">IF($G7="Всього:",SUM($J$4:J6),IF(I7-SUM(K7:L7)&lt;0,0,I7-SUM(K7:L7)))</f>
        <v>3076.9463436315973</v>
      </c>
      <c r="K7" s="160">
        <f ca="1">IF(G7="Всього:",SUM($K$5:K6),IF(F7&lt;&gt;F6,(F7*O6/36000*(G7-CONCATENATE(DAY($C$4),".",MONTH(G6),".",YEAR(G6)))+(F6*O6/36000*(CONCATENATE(DAY($C$4),".",MONTH(G6),".",YEAR(G6))-G6))),F7*O6/36000*(G7-G6)))</f>
        <v>727.05365636840293</v>
      </c>
      <c r="L7" s="160">
        <f ca="1">IF(G7="Всього:",SUM($L$5:L6),$E$4)</f>
        <v>0</v>
      </c>
      <c r="M7" s="160">
        <f ca="1">IF(G7="Всього:",SUM($M$5:M6),IF($E$5="UAH",J7+L7+K7,J7+K7))</f>
        <v>3804</v>
      </c>
      <c r="N7" s="160" t="str">
        <f ca="1">IF(G7="Всього:",SUM($N$4:N6),IF($E$5="UAH","",L7))</f>
        <v/>
      </c>
      <c r="O7" s="160">
        <f t="shared" ca="1" si="0"/>
        <v>90736.428671646179</v>
      </c>
    </row>
    <row r="8" spans="1:15" x14ac:dyDescent="0.25">
      <c r="A8" s="160" t="s">
        <v>198</v>
      </c>
      <c r="B8" s="160">
        <f ca="1">C4</f>
        <v>46118</v>
      </c>
      <c r="C8" s="163"/>
      <c r="D8" s="163" t="s">
        <v>199</v>
      </c>
      <c r="E8" s="160">
        <f ca="1">IF(DAY(C4)&gt;=15,E3+1,E3+1)</f>
        <v>61</v>
      </c>
      <c r="F8" s="160">
        <f t="shared" ca="1" si="1"/>
        <v>9.3000000000000007</v>
      </c>
      <c r="G8" s="160">
        <f t="shared" ca="1" si="3"/>
        <v>46235</v>
      </c>
      <c r="H8" s="160">
        <f t="shared" ca="1" si="2"/>
        <v>4</v>
      </c>
      <c r="I8" s="160">
        <f ca="1">IF($G8="Всього:",SUM($I$4:I7),IF(AND(DAY($C$4)&gt;=15,H8=1),K8+L8,$C$32))</f>
        <v>3804</v>
      </c>
      <c r="J8" s="160">
        <f ca="1">IF($G8="Всього:",SUM($J$4:J7),IF(I8-SUM(K8:L8)&lt;0,0,I8-SUM(K8:L8)))</f>
        <v>3077.3524337212334</v>
      </c>
      <c r="K8" s="160">
        <f ca="1">IF(G8="Всього:",SUM($K$5:K7),IF(F8&lt;&gt;F7,(F8*O7/36000*(G8-CONCATENATE(DAY($C$4),".",MONTH(G7),".",YEAR(G7)))+(F7*O7/36000*(CONCATENATE(DAY($C$4),".",MONTH(G7),".",YEAR(G7))-G7))),F8*O7/36000*(G8-G7)))</f>
        <v>726.64756627876659</v>
      </c>
      <c r="L8" s="160">
        <f ca="1">IF(G8="Всього:",SUM($L$5:L7),$E$4)</f>
        <v>0</v>
      </c>
      <c r="M8" s="160">
        <f ca="1">IF(G8="Всього:",SUM($M$5:M7),IF($E$5="UAH",J8+L8+K8,J8+K8))</f>
        <v>3804</v>
      </c>
      <c r="N8" s="160" t="str">
        <f ca="1">IF(G8="Всього:",SUM($N$4:N7),IF($E$5="UAH","",L8))</f>
        <v/>
      </c>
      <c r="O8" s="160">
        <f t="shared" ca="1" si="0"/>
        <v>87659.07623792495</v>
      </c>
    </row>
    <row r="9" spans="1:15" x14ac:dyDescent="0.25">
      <c r="A9" s="160" t="s">
        <v>200</v>
      </c>
      <c r="B9" s="160">
        <f ca="1">IF('Платоспроможність боржника'!H7="",B14,EDATE($C$4,'Платоспроможність боржника'!$H$7))</f>
        <v>47943</v>
      </c>
      <c r="C9" s="163"/>
      <c r="D9" s="163"/>
      <c r="F9" s="160">
        <f t="shared" ca="1" si="1"/>
        <v>9.3000000000000007</v>
      </c>
      <c r="G9" s="160">
        <f t="shared" ca="1" si="3"/>
        <v>46266</v>
      </c>
      <c r="H9" s="160">
        <f t="shared" ca="1" si="2"/>
        <v>5</v>
      </c>
      <c r="I9" s="160">
        <f ca="1">IF($G9="Всього:",SUM($I$4:I8),IF(AND(DAY($C$4)&gt;=15,H9=1),K9+L9,$C$32))</f>
        <v>3804</v>
      </c>
      <c r="J9" s="160">
        <f ca="1">IF($G9="Всього:",SUM($J$4:J8),IF(I9-SUM(K9:L9)&lt;0,0,I9-SUM(K9:L9)))</f>
        <v>3101.9968977946178</v>
      </c>
      <c r="K9" s="160">
        <f ca="1">IF(G9="Всього:",SUM($K$5:K8),IF(F9&lt;&gt;F8,(F9*O8/36000*(G9-CONCATENATE(DAY($C$4),".",MONTH(G8),".",YEAR(G8)))+(F8*O8/36000*(CONCATENATE(DAY($C$4),".",MONTH(G8),".",YEAR(G8))-G8))),F9*O8/36000*(G9-G8)))</f>
        <v>702.00310220538233</v>
      </c>
      <c r="L9" s="160">
        <f ca="1">IF(G9="Всього:",SUM($L$5:L8),$E$4)</f>
        <v>0</v>
      </c>
      <c r="M9" s="160">
        <f ca="1">IF(G9="Всього:",SUM($M$5:M8),IF($E$5="UAH",J9+L9+K9,J9+K9))</f>
        <v>3804</v>
      </c>
      <c r="N9" s="160" t="str">
        <f ca="1">IF(G9="Всього:",SUM($N$4:N8),IF($E$5="UAH","",L9))</f>
        <v/>
      </c>
      <c r="O9" s="160">
        <f t="shared" ca="1" si="0"/>
        <v>84557.079340130338</v>
      </c>
    </row>
    <row r="10" spans="1:15" x14ac:dyDescent="0.25">
      <c r="A10" s="160" t="s">
        <v>201</v>
      </c>
      <c r="B10" s="160">
        <f ca="1">IF('Платоспроможність боржника'!I7="",B14,EDATE($C$4,'Платоспроможність боржника'!$H$7+'Платоспроможність боржника'!$I$7))</f>
        <v>47943</v>
      </c>
      <c r="C10" s="163"/>
      <c r="D10" s="163"/>
      <c r="F10" s="160">
        <f t="shared" ca="1" si="1"/>
        <v>9.3000000000000007</v>
      </c>
      <c r="G10" s="160">
        <f t="shared" ca="1" si="3"/>
        <v>46296</v>
      </c>
      <c r="H10" s="160">
        <f t="shared" ca="1" si="2"/>
        <v>6</v>
      </c>
      <c r="I10" s="160">
        <f ca="1">IF($G10="Всього:",SUM($I$4:I9),IF(AND(DAY($C$4)&gt;=15,H10=1),K10+L10,$C$32))</f>
        <v>3804</v>
      </c>
      <c r="J10" s="160">
        <f ca="1">IF($G10="Всього:",SUM($J$4:J9),IF(I10-SUM(K10:L10)&lt;0,0,I10-SUM(K10:L10)))</f>
        <v>3148.6826351139898</v>
      </c>
      <c r="K10" s="160">
        <f ca="1">IF(G10="Всього:",SUM($K$5:K9),IF(F10&lt;&gt;F9,(F10*O9/36000*(G10-CONCATENATE(DAY($C$4),".",MONTH(G9),".",YEAR(G9)))+(F9*O9/36000*(CONCATENATE(DAY($C$4),".",MONTH(G9),".",YEAR(G9))-G9))),F10*O9/36000*(G10-G9)))</f>
        <v>655.31736488601018</v>
      </c>
      <c r="L10" s="160">
        <f ca="1">IF(G10="Всього:",SUM($L$5:L9),$E$4)</f>
        <v>0</v>
      </c>
      <c r="M10" s="160">
        <f ca="1">IF(G10="Всього:",SUM($M$5:M9),IF($E$5="UAH",J10+L10+K10,J10+K10))</f>
        <v>3804</v>
      </c>
      <c r="N10" s="160" t="str">
        <f ca="1">IF(G10="Всього:",SUM($N$4:N9),IF($E$5="UAH","",L10))</f>
        <v/>
      </c>
      <c r="O10" s="160">
        <f t="shared" ca="1" si="0"/>
        <v>81408.396705016348</v>
      </c>
    </row>
    <row r="11" spans="1:15" x14ac:dyDescent="0.25">
      <c r="A11" s="160" t="s">
        <v>202</v>
      </c>
      <c r="B11" s="160">
        <f ca="1">IF('Платоспроможність боржника'!J7="",B14,EDATE($C$4,'Платоспроможність боржника'!$H$7+'Платоспроможність боржника'!$I$7+'Платоспроможність боржника'!$J$7))</f>
        <v>47943</v>
      </c>
      <c r="F11" s="160">
        <f t="shared" ca="1" si="1"/>
        <v>9.3000000000000007</v>
      </c>
      <c r="G11" s="160">
        <f t="shared" ca="1" si="3"/>
        <v>46327</v>
      </c>
      <c r="H11" s="160">
        <f t="shared" ca="1" si="2"/>
        <v>7</v>
      </c>
      <c r="I11" s="160">
        <f ca="1">IF($G11="Всього:",SUM($I$4:I10),IF(AND(DAY($C$4)&gt;=15,H11=1),K11+L11,$C$32))</f>
        <v>3804</v>
      </c>
      <c r="J11" s="160">
        <f ca="1">IF($G11="Всього:",SUM($J$4:J10),IF(I11-SUM(K11:L11)&lt;0,0,I11-SUM(K11:L11)))</f>
        <v>3152.054423053994</v>
      </c>
      <c r="K11" s="160">
        <f ca="1">IF(G11="Всього:",SUM($K$5:K10),IF(F11&lt;&gt;F10,(F11*O10/36000*(G11-CONCATENATE(DAY($C$4),".",MONTH(G10),".",YEAR(G10)))+(F10*O10/36000*(CONCATENATE(DAY($C$4),".",MONTH(G10),".",YEAR(G10))-G10))),F11*O10/36000*(G11-G10)))</f>
        <v>651.94557694600599</v>
      </c>
      <c r="L11" s="160">
        <f ca="1">IF(G11="Всього:",SUM($L$5:L10),$E$4)</f>
        <v>0</v>
      </c>
      <c r="M11" s="160">
        <f ca="1">IF(G11="Всього:",SUM($M$5:M10),IF($E$5="UAH",J11+L11+K11,J11+K11))</f>
        <v>3804</v>
      </c>
      <c r="N11" s="160" t="str">
        <f ca="1">IF(G11="Всього:",SUM($N$4:N10),IF($E$5="UAH","",L11))</f>
        <v/>
      </c>
      <c r="O11" s="160">
        <f t="shared" ca="1" si="0"/>
        <v>78256.342281962352</v>
      </c>
    </row>
    <row r="12" spans="1:15" x14ac:dyDescent="0.25">
      <c r="B12" s="161"/>
      <c r="C12" s="161"/>
      <c r="F12" s="160">
        <f t="shared" ca="1" si="1"/>
        <v>9.3000000000000007</v>
      </c>
      <c r="G12" s="160">
        <f t="shared" ca="1" si="3"/>
        <v>46357</v>
      </c>
      <c r="H12" s="160">
        <f t="shared" ca="1" si="2"/>
        <v>8</v>
      </c>
      <c r="I12" s="160">
        <f ca="1">IF($G12="Всього:",SUM($I$4:I11),IF(AND(DAY($C$4)&gt;=15,H12=1),K12+L12,$C$32))</f>
        <v>3804</v>
      </c>
      <c r="J12" s="160">
        <f ca="1">IF($G12="Всього:",SUM($J$4:J11),IF(I12-SUM(K12:L12)&lt;0,0,I12-SUM(K12:L12)))</f>
        <v>3197.5133473147916</v>
      </c>
      <c r="K12" s="160">
        <f ca="1">IF(G12="Всього:",SUM($K$5:K11),IF(F12&lt;&gt;F11,(F12*O11/36000*(G12-CONCATENATE(DAY($C$4),".",MONTH(G11),".",YEAR(G11)))+(F11*O11/36000*(CONCATENATE(DAY($C$4),".",MONTH(G11),".",YEAR(G11))-G11))),F12*O11/36000*(G12-G11)))</f>
        <v>606.48665268520836</v>
      </c>
      <c r="L12" s="160">
        <f ca="1">IF(G12="Всього:",SUM($L$5:L11),$E$4)</f>
        <v>0</v>
      </c>
      <c r="M12" s="160">
        <f ca="1">IF(G12="Всього:",SUM($M$5:M11),IF($E$5="UAH",J12+L12+K12,J12+K12))</f>
        <v>3804</v>
      </c>
      <c r="N12" s="160" t="str">
        <f ca="1">IF(G12="Всього:",SUM($N$4:N11),IF($E$5="UAH","",L12))</f>
        <v/>
      </c>
      <c r="O12" s="160">
        <f t="shared" ca="1" si="0"/>
        <v>75058.828934647565</v>
      </c>
    </row>
    <row r="13" spans="1:15" x14ac:dyDescent="0.25">
      <c r="C13" s="163"/>
      <c r="F13" s="160">
        <f t="shared" ca="1" si="1"/>
        <v>9.3000000000000007</v>
      </c>
      <c r="G13" s="160">
        <f t="shared" ca="1" si="3"/>
        <v>46388</v>
      </c>
      <c r="H13" s="160">
        <f t="shared" ca="1" si="2"/>
        <v>9</v>
      </c>
      <c r="I13" s="160">
        <f ca="1">IF($G13="Всього:",SUM($I$4:I12),IF(AND(DAY($C$4)&gt;=15,H13=1),K13+L13,$C$32))</f>
        <v>3804</v>
      </c>
      <c r="J13" s="160">
        <f ca="1">IF($G13="Всього:",SUM($J$4:J12),IF(I13-SUM(K13:L13)&lt;0,0,I13-SUM(K13:L13)))</f>
        <v>3202.9038782816974</v>
      </c>
      <c r="K13" s="160">
        <f ca="1">IF(G13="Всього:",SUM($K$5:K12),IF(F13&lt;&gt;F12,(F13*O12/36000*(G13-CONCATENATE(DAY($C$4),".",MONTH(G12),".",YEAR(G12)))+(F12*O12/36000*(CONCATENATE(DAY($C$4),".",MONTH(G12),".",YEAR(G12))-G12))),F13*O12/36000*(G13-G12)))</f>
        <v>601.0961217183027</v>
      </c>
      <c r="L13" s="160">
        <f ca="1">IF(G13="Всього:",SUM($L$5:L12),$E$4)</f>
        <v>0</v>
      </c>
      <c r="M13" s="160">
        <f ca="1">IF(G13="Всього:",SUM($M$5:M12),IF($E$5="UAH",J13+L13+K13,J13+K13))</f>
        <v>3804</v>
      </c>
      <c r="N13" s="160" t="str">
        <f ca="1">IF(G13="Всього:",SUM($N$4:N12),IF($E$5="UAH","",L13))</f>
        <v/>
      </c>
      <c r="O13" s="160">
        <f t="shared" ca="1" si="0"/>
        <v>71855.925056365872</v>
      </c>
    </row>
    <row r="14" spans="1:15" x14ac:dyDescent="0.25">
      <c r="A14" s="160" t="s">
        <v>203</v>
      </c>
      <c r="B14" s="160">
        <f ca="1">EDATE($C$4,$E$3)-1</f>
        <v>47943</v>
      </c>
      <c r="C14" s="163"/>
      <c r="F14" s="160">
        <f t="shared" ca="1" si="1"/>
        <v>9.3000000000000007</v>
      </c>
      <c r="G14" s="160">
        <f t="shared" ca="1" si="3"/>
        <v>46419</v>
      </c>
      <c r="H14" s="160">
        <f t="shared" ca="1" si="2"/>
        <v>10</v>
      </c>
      <c r="I14" s="160">
        <f ca="1">IF($G14="Всього:",SUM($I$4:I13),IF(AND(DAY($C$4)&gt;=15,H14=1),K14+L14,$C$32))</f>
        <v>3804</v>
      </c>
      <c r="J14" s="160">
        <f ca="1">IF($G14="Всього:",SUM($J$4:J13),IF(I14-SUM(K14:L14)&lt;0,0,I14-SUM(K14:L14)))</f>
        <v>3228.5538001736031</v>
      </c>
      <c r="K14" s="160">
        <f ca="1">IF(G14="Всього:",SUM($K$5:K13),IF(F14&lt;&gt;F13,(F14*O13/36000*(G14-CONCATENATE(DAY($C$4),".",MONTH(G13),".",YEAR(G13)))+(F13*O13/36000*(CONCATENATE(DAY($C$4),".",MONTH(G13),".",YEAR(G13))-G13))),F14*O13/36000*(G14-G13)))</f>
        <v>575.44619982639665</v>
      </c>
      <c r="L14" s="160">
        <f ca="1">IF(G14="Всього:",SUM($L$5:L13),$E$4)</f>
        <v>0</v>
      </c>
      <c r="M14" s="160">
        <f ca="1">IF(G14="Всього:",SUM($M$5:M13),IF($E$5="UAH",J14+L14+K14,J14+K14))</f>
        <v>3804</v>
      </c>
      <c r="N14" s="160" t="str">
        <f ca="1">IF(G14="Всього:",SUM($N$4:N13),IF($E$5="UAH","",L14))</f>
        <v/>
      </c>
      <c r="O14" s="160">
        <f t="shared" ca="1" si="0"/>
        <v>68627.371256192273</v>
      </c>
    </row>
    <row r="15" spans="1:15" x14ac:dyDescent="0.25">
      <c r="C15" s="163"/>
      <c r="F15" s="160">
        <f t="shared" ca="1" si="1"/>
        <v>9.3000000000000007</v>
      </c>
      <c r="G15" s="160">
        <f t="shared" ca="1" si="3"/>
        <v>46447</v>
      </c>
      <c r="H15" s="160">
        <f t="shared" ca="1" si="2"/>
        <v>11</v>
      </c>
      <c r="I15" s="160">
        <f ca="1">IF($G15="Всього:",SUM($I$4:I14),IF(AND(DAY($C$4)&gt;=15,H15=1),K15+L15,$C$32))</f>
        <v>3804</v>
      </c>
      <c r="J15" s="160">
        <f ca="1">IF($G15="Всього:",SUM($J$4:J14),IF(I15-SUM(K15:L15)&lt;0,0,I15-SUM(K15:L15)))</f>
        <v>3307.5953479135424</v>
      </c>
      <c r="K15" s="160">
        <f ca="1">IF(G15="Всього:",SUM($K$5:K14),IF(F15&lt;&gt;F14,(F15*O14/36000*(G15-CONCATENATE(DAY($C$4),".",MONTH(G14),".",YEAR(G14)))+(F14*O14/36000*(CONCATENATE(DAY($C$4),".",MONTH(G14),".",YEAR(G14))-G14))),F15*O14/36000*(G15-G14)))</f>
        <v>496.40465208645753</v>
      </c>
      <c r="L15" s="160">
        <f ca="1">IF(G15="Всього:",SUM($L$5:L14),$E$4)</f>
        <v>0</v>
      </c>
      <c r="M15" s="160">
        <f ca="1">IF(G15="Всього:",SUM($M$5:M14),IF($E$5="UAH",J15+L15+K15,J15+K15))</f>
        <v>3804</v>
      </c>
      <c r="N15" s="160" t="str">
        <f ca="1">IF(G15="Всього:",SUM($N$4:N14),IF($E$5="UAH","",L15))</f>
        <v/>
      </c>
      <c r="O15" s="160">
        <f t="shared" ca="1" si="0"/>
        <v>65319.775908278731</v>
      </c>
    </row>
    <row r="16" spans="1:15" x14ac:dyDescent="0.25">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9.3000000000000007</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9.3000000000000007</v>
      </c>
      <c r="G16" s="160">
        <f t="shared" ca="1" si="3"/>
        <v>46478</v>
      </c>
      <c r="H16" s="160">
        <f t="shared" ca="1" si="2"/>
        <v>12</v>
      </c>
      <c r="I16" s="160">
        <f ca="1">IF($G16="Всього:",SUM($I$4:I15),IF(AND(DAY($C$4)&gt;=15,H16=1),K16+L16,$C$32))</f>
        <v>3804</v>
      </c>
      <c r="J16" s="160">
        <f ca="1">IF($G16="Всього:",SUM($J$4:J15),IF(I16-SUM(K16:L16)&lt;0,0,I16-SUM(K16:L16)))</f>
        <v>3280.8974612678676</v>
      </c>
      <c r="K16" s="160">
        <f ca="1">IF(G16="Всього:",SUM($K$5:K15),IF(F16&lt;&gt;F15,(F16*O15/36000*(G16-CONCATENATE(DAY($C$4),".",MONTH(G15),".",YEAR(G15)))+(F15*O15/36000*(CONCATENATE(DAY($C$4),".",MONTH(G15),".",YEAR(G15))-G15))),F16*O15/36000*(G16-G15)))</f>
        <v>523.10253873213219</v>
      </c>
      <c r="L16" s="160">
        <f ca="1">IF(G16="Всього:",SUM($L$5:L15),$E$4)</f>
        <v>0</v>
      </c>
      <c r="M16" s="160">
        <f ca="1">IF(G16="Всього:",SUM($M$5:M15),IF($E$5="UAH",J16+L16+K16,J16+K16))</f>
        <v>3804</v>
      </c>
      <c r="N16" s="160" t="str">
        <f ca="1">IF(G16="Всього:",SUM($N$4:N15),IF($E$5="UAH","",L16))</f>
        <v/>
      </c>
      <c r="O16" s="160">
        <f t="shared" ca="1" si="0"/>
        <v>62038.878447010866</v>
      </c>
    </row>
    <row r="17" spans="1:15" x14ac:dyDescent="0.25">
      <c r="C17" s="163"/>
      <c r="F17" s="160">
        <f t="shared" ca="1" si="1"/>
        <v>9.3000000000000007</v>
      </c>
      <c r="G17" s="160">
        <f t="shared" ca="1" si="3"/>
        <v>46508</v>
      </c>
      <c r="H17" s="160">
        <f t="shared" ca="1" si="2"/>
        <v>13</v>
      </c>
      <c r="I17" s="160">
        <f ca="1">IF($G17="Всього:",SUM($I$4:I16),IF(AND(DAY($C$4)&gt;=15,H17=1),K17+L17,$C$32))</f>
        <v>3804</v>
      </c>
      <c r="J17" s="160">
        <f ca="1">IF($G17="Всього:",SUM($J$4:J16),IF(I17-SUM(K17:L17)&lt;0,0,I17-SUM(K17:L17)))</f>
        <v>3323.1986920356658</v>
      </c>
      <c r="K17" s="160">
        <f ca="1">IF(G17="Всього:",SUM($K$5:K16),IF(F17&lt;&gt;F16,(F17*O16/36000*(G17-CONCATENATE(DAY($C$4),".",MONTH(G16),".",YEAR(G16)))+(F16*O16/36000*(CONCATENATE(DAY($C$4),".",MONTH(G16),".",YEAR(G16))-G16))),F17*O16/36000*(G17-G16)))</f>
        <v>480.80130796433428</v>
      </c>
      <c r="L17" s="160">
        <f ca="1">IF(G17="Всього:",SUM($L$5:L16),$E$4)</f>
        <v>0</v>
      </c>
      <c r="M17" s="160">
        <f ca="1">IF(G17="Всього:",SUM($M$5:M16),IF($E$5="UAH",J17+L17+K17,J17+K17))</f>
        <v>3804</v>
      </c>
      <c r="N17" s="160" t="str">
        <f ca="1">IF(G17="Всього:",SUM($N$4:N16),IF($E$5="UAH","",L17))</f>
        <v/>
      </c>
      <c r="O17" s="160">
        <f t="shared" ca="1" si="0"/>
        <v>58715.679754975201</v>
      </c>
    </row>
    <row r="18" spans="1:15" x14ac:dyDescent="0.25">
      <c r="F18" s="160">
        <f t="shared" ca="1" si="1"/>
        <v>9.3000000000000007</v>
      </c>
      <c r="G18" s="160">
        <f t="shared" ca="1" si="3"/>
        <v>46539</v>
      </c>
      <c r="H18" s="160">
        <f t="shared" ca="1" si="2"/>
        <v>14</v>
      </c>
      <c r="I18" s="160">
        <f ca="1">IF($G18="Всього:",SUM($I$4:I17),IF(AND(DAY($C$4)&gt;=15,H18=1),K18+L18,$C$32))</f>
        <v>3804</v>
      </c>
      <c r="J18" s="160">
        <f ca="1">IF($G18="Всього:",SUM($J$4:J17),IF(I18-SUM(K18:L18)&lt;0,0,I18-SUM(K18:L18)))</f>
        <v>3333.785264628907</v>
      </c>
      <c r="K18" s="160">
        <f ca="1">IF(G18="Всього:",SUM($K$5:K17),IF(F18&lt;&gt;F17,(F18*O17/36000*(G18-CONCATENATE(DAY($C$4),".",MONTH(G17),".",YEAR(G17)))+(F17*O17/36000*(CONCATENATE(DAY($C$4),".",MONTH(G17),".",YEAR(G17))-G17))),F18*O17/36000*(G18-G17)))</f>
        <v>470.21473537109313</v>
      </c>
      <c r="L18" s="160">
        <f ca="1">IF(G18="Всього:",SUM($L$5:L17),$E$4)</f>
        <v>0</v>
      </c>
      <c r="M18" s="160">
        <f ca="1">IF(G18="Всього:",SUM($M$5:M17),IF($E$5="UAH",J18+L18+K18,J18+K18))</f>
        <v>3804</v>
      </c>
      <c r="N18" s="160" t="str">
        <f ca="1">IF(G18="Всього:",SUM($N$4:N17),IF($E$5="UAH","",L18))</f>
        <v/>
      </c>
      <c r="O18" s="160">
        <f t="shared" ca="1" si="0"/>
        <v>55381.894490346291</v>
      </c>
    </row>
    <row r="19" spans="1:15" x14ac:dyDescent="0.25">
      <c r="F19" s="160">
        <f t="shared" ca="1" si="1"/>
        <v>9.3000000000000007</v>
      </c>
      <c r="G19" s="160">
        <f t="shared" ca="1" si="3"/>
        <v>46569</v>
      </c>
      <c r="H19" s="160">
        <f t="shared" ca="1" si="2"/>
        <v>15</v>
      </c>
      <c r="I19" s="160">
        <f ca="1">IF($G19="Всього:",SUM($I$4:I18),IF(AND(DAY($C$4)&gt;=15,H19=1),K19+L19,$C$32))</f>
        <v>3804</v>
      </c>
      <c r="J19" s="160">
        <f ca="1">IF($G19="Всього:",SUM($J$4:J18),IF(I19-SUM(K19:L19)&lt;0,0,I19-SUM(K19:L19)))</f>
        <v>3374.7903176998161</v>
      </c>
      <c r="K19" s="160">
        <f ca="1">IF(G19="Всього:",SUM($K$5:K18),IF(F19&lt;&gt;F18,(F19*O18/36000*(G19-CONCATENATE(DAY($C$4),".",MONTH(G18),".",YEAR(G18)))+(F18*O18/36000*(CONCATENATE(DAY($C$4),".",MONTH(G18),".",YEAR(G18))-G18))),F19*O18/36000*(G19-G18)))</f>
        <v>429.20968230018377</v>
      </c>
      <c r="L19" s="160">
        <f ca="1">IF(G19="Всього:",SUM($L$5:L18),$E$4)</f>
        <v>0</v>
      </c>
      <c r="M19" s="160">
        <f ca="1">IF(G19="Всього:",SUM($M$5:M18),IF($E$5="UAH",J19+L19+K19,J19+K19))</f>
        <v>3804</v>
      </c>
      <c r="N19" s="160" t="str">
        <f ca="1">IF(G19="Всього:",SUM($N$4:N18),IF($E$5="UAH","",L19))</f>
        <v/>
      </c>
      <c r="O19" s="160">
        <f t="shared" ca="1" si="0"/>
        <v>52007.104172646475</v>
      </c>
    </row>
    <row r="20" spans="1:15" x14ac:dyDescent="0.25">
      <c r="F20" s="160">
        <f t="shared" ca="1" si="1"/>
        <v>9.3000000000000007</v>
      </c>
      <c r="G20" s="160">
        <f t="shared" ca="1" si="3"/>
        <v>46600</v>
      </c>
      <c r="H20" s="160">
        <f t="shared" ca="1" si="2"/>
        <v>16</v>
      </c>
      <c r="I20" s="160">
        <f ca="1">IF($G20="Всього:",SUM($I$4:I19),IF(AND(DAY($C$4)&gt;=15,H20=1),K20+L20,$C$32))</f>
        <v>3804</v>
      </c>
      <c r="J20" s="160">
        <f ca="1">IF($G20="Всього:",SUM($J$4:J19),IF(I20-SUM(K20:L20)&lt;0,0,I20-SUM(K20:L20)))</f>
        <v>3387.5097740840561</v>
      </c>
      <c r="K20" s="160">
        <f ca="1">IF(G20="Всього:",SUM($K$5:K19),IF(F20&lt;&gt;F19,(F20*O19/36000*(G20-CONCATENATE(DAY($C$4),".",MONTH(G19),".",YEAR(G19)))+(F19*O19/36000*(CONCATENATE(DAY($C$4),".",MONTH(G19),".",YEAR(G19))-G19))),F20*O19/36000*(G20-G19)))</f>
        <v>416.49022591594394</v>
      </c>
      <c r="L20" s="160">
        <f ca="1">IF(G20="Всього:",SUM($L$5:L19),$E$4)</f>
        <v>0</v>
      </c>
      <c r="M20" s="160">
        <f ca="1">IF(G20="Всього:",SUM($M$5:M19),IF($E$5="UAH",J20+L20+K20,J20+K20))</f>
        <v>3804</v>
      </c>
      <c r="N20" s="160" t="str">
        <f ca="1">IF(G20="Всього:",SUM($N$4:N19),IF($E$5="UAH","",L20))</f>
        <v/>
      </c>
      <c r="O20" s="160">
        <f t="shared" ca="1" si="0"/>
        <v>48619.594398562418</v>
      </c>
    </row>
    <row r="21" spans="1:15" x14ac:dyDescent="0.25">
      <c r="F21" s="160">
        <f t="shared" ca="1" si="1"/>
        <v>9.3000000000000007</v>
      </c>
      <c r="G21" s="160">
        <f t="shared" ca="1" si="3"/>
        <v>46631</v>
      </c>
      <c r="H21" s="160">
        <f t="shared" ca="1" si="2"/>
        <v>17</v>
      </c>
      <c r="I21" s="160">
        <f ca="1">IF($G21="Всього:",SUM($I$4:I20),IF(AND(DAY($C$4)&gt;=15,H21=1),K21+L21,$C$32))</f>
        <v>3804</v>
      </c>
      <c r="J21" s="160">
        <f ca="1">IF($G21="Всього:",SUM($J$4:J20),IF(I21-SUM(K21:L21)&lt;0,0,I21-SUM(K21:L21)))</f>
        <v>3414.6380815248458</v>
      </c>
      <c r="K21" s="160">
        <f ca="1">IF(G21="Всього:",SUM($K$5:K20),IF(F21&lt;&gt;F20,(F21*O20/36000*(G21-CONCATENATE(DAY($C$4),".",MONTH(G20),".",YEAR(G20)))+(F20*O20/36000*(CONCATENATE(DAY($C$4),".",MONTH(G20),".",YEAR(G20))-G20))),F21*O20/36000*(G21-G20)))</f>
        <v>389.36191847515408</v>
      </c>
      <c r="L21" s="160">
        <f ca="1">IF(G21="Всього:",SUM($L$5:L20),$E$4)</f>
        <v>0</v>
      </c>
      <c r="M21" s="160">
        <f ca="1">IF(G21="Всього:",SUM($M$5:M20),IF($E$5="UAH",J21+L21+K21,J21+K21))</f>
        <v>3804</v>
      </c>
      <c r="N21" s="160" t="str">
        <f ca="1">IF(G21="Всього:",SUM($N$4:N20),IF($E$5="UAH","",L21))</f>
        <v/>
      </c>
      <c r="O21" s="160">
        <f t="shared" ca="1" si="0"/>
        <v>45204.95631703757</v>
      </c>
    </row>
    <row r="22" spans="1:15" x14ac:dyDescent="0.25">
      <c r="F22" s="160">
        <f t="shared" ca="1" si="1"/>
        <v>9.3000000000000007</v>
      </c>
      <c r="G22" s="160">
        <f t="shared" ca="1" si="3"/>
        <v>46661</v>
      </c>
      <c r="H22" s="160">
        <f t="shared" ca="1" si="2"/>
        <v>18</v>
      </c>
      <c r="I22" s="160">
        <f ca="1">IF($G22="Всього:",SUM($I$4:I21),IF(AND(DAY($C$4)&gt;=15,H22=1),K22+L22,$C$32))</f>
        <v>3804</v>
      </c>
      <c r="J22" s="160">
        <f ca="1">IF($G22="Всього:",SUM($J$4:J21),IF(I22-SUM(K22:L22)&lt;0,0,I22-SUM(K22:L22)))</f>
        <v>3453.6615885429587</v>
      </c>
      <c r="K22" s="160">
        <f ca="1">IF(G22="Всього:",SUM($K$5:K21),IF(F22&lt;&gt;F21,(F22*O21/36000*(G22-CONCATENATE(DAY($C$4),".",MONTH(G21),".",YEAR(G21)))+(F21*O21/36000*(CONCATENATE(DAY($C$4),".",MONTH(G21),".",YEAR(G21))-G21))),F22*O21/36000*(G22-G21)))</f>
        <v>350.33841145704122</v>
      </c>
      <c r="L22" s="160">
        <f ca="1">IF(G22="Всього:",SUM($L$5:L21),$E$4)</f>
        <v>0</v>
      </c>
      <c r="M22" s="160">
        <f ca="1">IF(G22="Всього:",SUM($M$5:M21),IF($E$5="UAH",J22+L22+K22,J22+K22))</f>
        <v>3804</v>
      </c>
      <c r="N22" s="160" t="str">
        <f ca="1">IF(G22="Всього:",SUM($N$4:N21),IF($E$5="UAH","",L22))</f>
        <v/>
      </c>
      <c r="O22" s="160">
        <f t="shared" ca="1" si="0"/>
        <v>41751.294728494613</v>
      </c>
    </row>
    <row r="23" spans="1:15" x14ac:dyDescent="0.25">
      <c r="F23" s="160">
        <f t="shared" ca="1" si="1"/>
        <v>9.3000000000000007</v>
      </c>
      <c r="G23" s="160">
        <f t="shared" ca="1" si="3"/>
        <v>46692</v>
      </c>
      <c r="H23" s="160">
        <f t="shared" ca="1" si="2"/>
        <v>19</v>
      </c>
      <c r="I23" s="160">
        <f ca="1">IF($G23="Всього:",SUM($I$4:I22),IF(AND(DAY($C$4)&gt;=15,H23=1),K23+L23,$C$32))</f>
        <v>3804</v>
      </c>
      <c r="J23" s="160">
        <f ca="1">IF($G23="Всього:",SUM($J$4:J22),IF(I23-SUM(K23:L23)&lt;0,0,I23-SUM(K23:L23)))</f>
        <v>3469.6417147159723</v>
      </c>
      <c r="K23" s="160">
        <f ca="1">IF(G23="Всього:",SUM($K$5:K22),IF(F23&lt;&gt;F22,(F23*O22/36000*(G23-CONCATENATE(DAY($C$4),".",MONTH(G22),".",YEAR(G22)))+(F22*O22/36000*(CONCATENATE(DAY($C$4),".",MONTH(G22),".",YEAR(G22))-G22))),F23*O22/36000*(G23-G22)))</f>
        <v>334.35828528402777</v>
      </c>
      <c r="L23" s="160">
        <f ca="1">IF(G23="Всього:",SUM($L$5:L22),$E$4)</f>
        <v>0</v>
      </c>
      <c r="M23" s="160">
        <f ca="1">IF(G23="Всього:",SUM($M$5:M22),IF($E$5="UAH",J23+L23+K23,J23+K23))</f>
        <v>3804</v>
      </c>
      <c r="N23" s="160" t="str">
        <f ca="1">IF(G23="Всього:",SUM($N$4:N22),IF($E$5="UAH","",L23))</f>
        <v/>
      </c>
      <c r="O23" s="160">
        <f t="shared" ca="1" si="0"/>
        <v>38281.653013778639</v>
      </c>
    </row>
    <row r="24" spans="1:15" x14ac:dyDescent="0.25">
      <c r="F24" s="160">
        <f t="shared" ca="1" si="1"/>
        <v>9.3000000000000007</v>
      </c>
      <c r="G24" s="160">
        <f t="shared" ca="1" si="3"/>
        <v>46722</v>
      </c>
      <c r="H24" s="160">
        <f t="shared" ca="1" si="2"/>
        <v>20</v>
      </c>
      <c r="I24" s="160">
        <f ca="1">IF($G24="Всього:",SUM($I$4:I23),IF(AND(DAY($C$4)&gt;=15,H24=1),K24+L24,$C$32))</f>
        <v>3804</v>
      </c>
      <c r="J24" s="160">
        <f ca="1">IF($G24="Всього:",SUM($J$4:J23),IF(I24-SUM(K24:L24)&lt;0,0,I24-SUM(K24:L24)))</f>
        <v>3507.3171891432157</v>
      </c>
      <c r="K24" s="160">
        <f ca="1">IF(G24="Всього:",SUM($K$5:K23),IF(F24&lt;&gt;F23,(F24*O23/36000*(G24-CONCATENATE(DAY($C$4),".",MONTH(G23),".",YEAR(G23)))+(F23*O23/36000*(CONCATENATE(DAY($C$4),".",MONTH(G23),".",YEAR(G23))-G23))),F24*O23/36000*(G24-G23)))</f>
        <v>296.6828108567845</v>
      </c>
      <c r="L24" s="160">
        <f ca="1">IF(G24="Всього:",SUM($L$5:L23),$E$4)</f>
        <v>0</v>
      </c>
      <c r="M24" s="160">
        <f ca="1">IF(G24="Всього:",SUM($M$5:M23),IF($E$5="UAH",J24+L24+K24,J24+K24))</f>
        <v>3804</v>
      </c>
      <c r="N24" s="160" t="str">
        <f ca="1">IF(G24="Всього:",SUM($N$4:N23),IF($E$5="UAH","",L24))</f>
        <v/>
      </c>
      <c r="O24" s="160">
        <f t="shared" ca="1" si="0"/>
        <v>34774.335824635426</v>
      </c>
    </row>
    <row r="25" spans="1:15" x14ac:dyDescent="0.25">
      <c r="F25" s="160">
        <f t="shared" ca="1" si="1"/>
        <v>9.3000000000000007</v>
      </c>
      <c r="G25" s="160">
        <f t="shared" ca="1" si="3"/>
        <v>46753</v>
      </c>
      <c r="H25" s="160">
        <f t="shared" ca="1" si="2"/>
        <v>21</v>
      </c>
      <c r="I25" s="160">
        <f ca="1">IF($G25="Всього:",SUM($I$4:I24),IF(AND(DAY($C$4)&gt;=15,H25=1),K25+L25,$C$32))</f>
        <v>3804</v>
      </c>
      <c r="J25" s="160">
        <f ca="1">IF($G25="Всього:",SUM($J$4:J24),IF(I25-SUM(K25:L25)&lt;0,0,I25-SUM(K25:L25)))</f>
        <v>3525.5155272710444</v>
      </c>
      <c r="K25" s="160">
        <f ca="1">IF(G25="Всього:",SUM($K$5:K24),IF(F25&lt;&gt;F24,(F25*O24/36000*(G25-CONCATENATE(DAY($C$4),".",MONTH(G24),".",YEAR(G24)))+(F24*O24/36000*(CONCATENATE(DAY($C$4),".",MONTH(G24),".",YEAR(G24))-G24))),F25*O24/36000*(G25-G24)))</f>
        <v>278.48447272895538</v>
      </c>
      <c r="L25" s="160">
        <f ca="1">IF(G25="Всього:",SUM($L$5:L24),$E$4)</f>
        <v>0</v>
      </c>
      <c r="M25" s="160">
        <f ca="1">IF(G25="Всього:",SUM($M$5:M24),IF($E$5="UAH",J25+L25+K25,J25+K25))</f>
        <v>3804</v>
      </c>
      <c r="N25" s="160" t="str">
        <f ca="1">IF(G25="Всього:",SUM($N$4:N24),IF($E$5="UAH","",L25))</f>
        <v/>
      </c>
      <c r="O25" s="160">
        <f t="shared" ca="1" si="0"/>
        <v>31248.820297364382</v>
      </c>
    </row>
    <row r="26" spans="1:15" x14ac:dyDescent="0.25">
      <c r="F26" s="160">
        <f t="shared" ca="1" si="1"/>
        <v>9.3000000000000007</v>
      </c>
      <c r="G26" s="160">
        <f t="shared" ca="1" si="3"/>
        <v>46784</v>
      </c>
      <c r="H26" s="160">
        <f t="shared" ca="1" si="2"/>
        <v>22</v>
      </c>
      <c r="I26" s="160">
        <f ca="1">IF($G26="Всього:",SUM($I$4:I25),IF(AND(DAY($C$4)&gt;=15,H26=1),K26+L26,$C$32))</f>
        <v>3804</v>
      </c>
      <c r="J26" s="160">
        <f ca="1">IF($G26="Всього:",SUM($J$4:J25),IF(I26-SUM(K26:L26)&lt;0,0,I26-SUM(K26:L26)))</f>
        <v>3553.7490307852736</v>
      </c>
      <c r="K26" s="160">
        <f ca="1">IF(G26="Всього:",SUM($K$5:K25),IF(F26&lt;&gt;F25,(F26*O25/36000*(G26-CONCATENATE(DAY($C$4),".",MONTH(G25),".",YEAR(G25)))+(F25*O25/36000*(CONCATENATE(DAY($C$4),".",MONTH(G25),".",YEAR(G25))-G25))),F26*O25/36000*(G26-G25)))</f>
        <v>250.25096921472644</v>
      </c>
      <c r="L26" s="160">
        <f ca="1">IF(G26="Всього:",SUM($L$5:L25),$E$4)</f>
        <v>0</v>
      </c>
      <c r="M26" s="160">
        <f ca="1">IF(G26="Всього:",SUM($M$5:M25),IF($E$5="UAH",J26+L26+K26,J26+K26))</f>
        <v>3804</v>
      </c>
      <c r="N26" s="160" t="str">
        <f ca="1">IF(G26="Всього:",SUM($N$4:N25),IF($E$5="UAH","",L26))</f>
        <v/>
      </c>
      <c r="O26" s="160">
        <f t="shared" ca="1" si="0"/>
        <v>27695.071266579107</v>
      </c>
    </row>
    <row r="27" spans="1:15" x14ac:dyDescent="0.25">
      <c r="F27" s="160">
        <f t="shared" ca="1" si="1"/>
        <v>9.3000000000000007</v>
      </c>
      <c r="G27" s="160">
        <f t="shared" ca="1" si="3"/>
        <v>46813</v>
      </c>
      <c r="H27" s="160">
        <f t="shared" ca="1" si="2"/>
        <v>23</v>
      </c>
      <c r="I27" s="160">
        <f ca="1">IF($G27="Всього:",SUM($I$4:I26),IF(AND(DAY($C$4)&gt;=15,H27=1),K27+L27,$C$32))</f>
        <v>3804</v>
      </c>
      <c r="J27" s="160">
        <f ca="1">IF($G27="Всього:",SUM($J$4:J26),IF(I27-SUM(K27:L27)&lt;0,0,I27-SUM(K27:L27)))</f>
        <v>3596.5177577612117</v>
      </c>
      <c r="K27" s="160">
        <f ca="1">IF(G27="Всього:",SUM($K$5:K26),IF(F27&lt;&gt;F26,(F27*O26/36000*(G27-CONCATENATE(DAY($C$4),".",MONTH(G26),".",YEAR(G26)))+(F26*O26/36000*(CONCATENATE(DAY($C$4),".",MONTH(G26),".",YEAR(G26))-G26))),F27*O26/36000*(G27-G26)))</f>
        <v>207.4822422387885</v>
      </c>
      <c r="L27" s="160">
        <f ca="1">IF(G27="Всього:",SUM($L$5:L26),$E$4)</f>
        <v>0</v>
      </c>
      <c r="M27" s="160">
        <f ca="1">IF(G27="Всього:",SUM($M$5:M26),IF($E$5="UAH",J27+L27+K27,J27+K27))</f>
        <v>3804</v>
      </c>
      <c r="N27" s="160" t="str">
        <f ca="1">IF(G27="Всього:",SUM($N$4:N26),IF($E$5="UAH","",L27))</f>
        <v/>
      </c>
      <c r="O27" s="160">
        <f t="shared" ca="1" si="0"/>
        <v>24098.553508817895</v>
      </c>
    </row>
    <row r="28" spans="1:15" x14ac:dyDescent="0.25">
      <c r="F28" s="160">
        <f t="shared" ca="1" si="1"/>
        <v>9.3000000000000007</v>
      </c>
      <c r="G28" s="160">
        <f t="shared" ca="1" si="3"/>
        <v>46844</v>
      </c>
      <c r="H28" s="160">
        <f t="shared" ca="1" si="2"/>
        <v>24</v>
      </c>
      <c r="I28" s="160">
        <f ca="1">IF($G28="Всього:",SUM($I$4:I27),IF(AND(DAY($C$4)&gt;=15,H28=1),K28+L28,$C$32))</f>
        <v>3804</v>
      </c>
      <c r="J28" s="160">
        <f ca="1">IF($G28="Всього:",SUM($J$4:J27),IF(I28-SUM(K28:L28)&lt;0,0,I28-SUM(K28:L28)))</f>
        <v>3611.0107506502168</v>
      </c>
      <c r="K28" s="160">
        <f ca="1">IF(G28="Всього:",SUM($K$5:K27),IF(F28&lt;&gt;F27,(F28*O27/36000*(G28-CONCATENATE(DAY($C$4),".",MONTH(G27),".",YEAR(G27)))+(F27*O27/36000*(CONCATENATE(DAY($C$4),".",MONTH(G27),".",YEAR(G27))-G27))),F28*O27/36000*(G28-G27)))</f>
        <v>192.98924934978331</v>
      </c>
      <c r="L28" s="160">
        <f ca="1">IF(G28="Всього:",SUM($L$5:L27),$E$4)</f>
        <v>0</v>
      </c>
      <c r="M28" s="160">
        <f ca="1">IF(G28="Всього:",SUM($M$5:M27),IF($E$5="UAH",J28+L28+K28,J28+K28))</f>
        <v>3804</v>
      </c>
      <c r="N28" s="160" t="str">
        <f ca="1">IF(G28="Всього:",SUM($N$4:N27),IF($E$5="UAH","",L28))</f>
        <v/>
      </c>
      <c r="O28" s="160">
        <f t="shared" ca="1" si="0"/>
        <v>20487.542758167678</v>
      </c>
    </row>
    <row r="29" spans="1:15" x14ac:dyDescent="0.25">
      <c r="F29" s="160">
        <f t="shared" ca="1" si="1"/>
        <v>9.3000000000000007</v>
      </c>
      <c r="G29" s="160">
        <f t="shared" ca="1" si="3"/>
        <v>46874</v>
      </c>
      <c r="H29" s="160">
        <f t="shared" ca="1" si="2"/>
        <v>25</v>
      </c>
      <c r="I29" s="160">
        <f ca="1">IF($G29="Всього:",SUM($I$4:I28),IF(AND(DAY($C$4)&gt;=15,H29=1),K29+L29,$C$32))</f>
        <v>3804</v>
      </c>
      <c r="J29" s="160">
        <f ca="1">IF($G29="Всього:",SUM($J$4:J28),IF(I29-SUM(K29:L29)&lt;0,0,I29-SUM(K29:L29)))</f>
        <v>3645.2215436242004</v>
      </c>
      <c r="K29" s="160">
        <f ca="1">IF(G29="Всього:",SUM($K$5:K28),IF(F29&lt;&gt;F28,(F29*O28/36000*(G29-CONCATENATE(DAY($C$4),".",MONTH(G28),".",YEAR(G28)))+(F28*O28/36000*(CONCATENATE(DAY($C$4),".",MONTH(G28),".",YEAR(G28))-G28))),F29*O28/36000*(G29-G28)))</f>
        <v>158.77845637579949</v>
      </c>
      <c r="L29" s="160">
        <f ca="1">IF(G29="Всього:",SUM($L$5:L28),$E$4)</f>
        <v>0</v>
      </c>
      <c r="M29" s="160">
        <f ca="1">IF(G29="Всього:",SUM($M$5:M28),IF($E$5="UAH",J29+L29+K29,J29+K29))</f>
        <v>3804</v>
      </c>
      <c r="N29" s="160" t="str">
        <f ca="1">IF(G29="Всього:",SUM($N$4:N28),IF($E$5="UAH","",L29))</f>
        <v/>
      </c>
      <c r="O29" s="160">
        <f t="shared" ca="1" si="0"/>
        <v>16842.321214543477</v>
      </c>
    </row>
    <row r="30" spans="1:15" x14ac:dyDescent="0.25">
      <c r="F30" s="160">
        <f t="shared" ca="1" si="1"/>
        <v>9.3000000000000007</v>
      </c>
      <c r="G30" s="160">
        <f t="shared" ca="1" si="3"/>
        <v>46905</v>
      </c>
      <c r="H30" s="160">
        <f t="shared" ca="1" si="2"/>
        <v>26</v>
      </c>
      <c r="I30" s="160">
        <f ca="1">IF($G30="Всього:",SUM($I$4:I29),IF(AND(DAY($C$4)&gt;=15,H30=1),K30+L30,$C$32))</f>
        <v>3804</v>
      </c>
      <c r="J30" s="160">
        <f ca="1">IF($G30="Всього:",SUM($J$4:J29),IF(I30-SUM(K30:L30)&lt;0,0,I30-SUM(K30:L30)))</f>
        <v>3669.1210776068642</v>
      </c>
      <c r="K30" s="160">
        <f ca="1">IF(G30="Всього:",SUM($K$5:K29),IF(F30&lt;&gt;F29,(F30*O29/36000*(G30-CONCATENATE(DAY($C$4),".",MONTH(G29),".",YEAR(G29)))+(F29*O29/36000*(CONCATENATE(DAY($C$4),".",MONTH(G29),".",YEAR(G29))-G29))),F30*O29/36000*(G30-G29)))</f>
        <v>134.8789223931357</v>
      </c>
      <c r="L30" s="160">
        <f ca="1">IF(G30="Всього:",SUM($L$5:L29),$E$4)</f>
        <v>0</v>
      </c>
      <c r="M30" s="160">
        <f ca="1">IF(G30="Всього:",SUM($M$5:M29),IF($E$5="UAH",J30+L30+K30,J30+K30))</f>
        <v>3804</v>
      </c>
      <c r="N30" s="160" t="str">
        <f ca="1">IF(G30="Всього:",SUM($N$4:N29),IF($E$5="UAH","",L30))</f>
        <v/>
      </c>
      <c r="O30" s="160">
        <f t="shared" ca="1" si="0"/>
        <v>13173.200136936613</v>
      </c>
    </row>
    <row r="31" spans="1:15" x14ac:dyDescent="0.25">
      <c r="F31" s="160">
        <f t="shared" ca="1" si="1"/>
        <v>9.3000000000000007</v>
      </c>
      <c r="G31" s="160">
        <f t="shared" ca="1" si="3"/>
        <v>46935</v>
      </c>
      <c r="H31" s="160">
        <f t="shared" ca="1" si="2"/>
        <v>27</v>
      </c>
      <c r="I31" s="160">
        <f ca="1">IF($G31="Всього:",SUM($I$4:I30),IF(AND(DAY($C$4)&gt;=15,H31=1),K31+L31,$C$32))</f>
        <v>3804</v>
      </c>
      <c r="J31" s="160">
        <f ca="1">IF($G31="Всього:",SUM($J$4:J30),IF(I31-SUM(K31:L31)&lt;0,0,I31-SUM(K31:L31)))</f>
        <v>3701.9076989387413</v>
      </c>
      <c r="K31" s="160">
        <f ca="1">IF(G31="Всього:",SUM($K$5:K30),IF(F31&lt;&gt;F30,(F31*O30/36000*(G31-CONCATENATE(DAY($C$4),".",MONTH(G30),".",YEAR(G30)))+(F30*O30/36000*(CONCATENATE(DAY($C$4),".",MONTH(G30),".",YEAR(G30))-G30))),F31*O30/36000*(G31-G30)))</f>
        <v>102.09230106125877</v>
      </c>
      <c r="L31" s="160">
        <f ca="1">IF(G31="Всього:",SUM($L$5:L30),$E$4)</f>
        <v>0</v>
      </c>
      <c r="M31" s="160">
        <f ca="1">IF(G31="Всього:",SUM($M$5:M30),IF($E$5="UAH",J31+L31+K31,J31+K31))</f>
        <v>3804</v>
      </c>
      <c r="N31" s="160" t="str">
        <f ca="1">IF(G31="Всього:",SUM($N$4:N30),IF($E$5="UAH","",L31))</f>
        <v/>
      </c>
      <c r="O31" s="160">
        <f t="shared" ca="1" si="0"/>
        <v>9471.2924379978722</v>
      </c>
    </row>
    <row r="32" spans="1:15" x14ac:dyDescent="0.25">
      <c r="A32" s="160" t="s">
        <v>204</v>
      </c>
      <c r="B32" s="160">
        <v>3803.9567544298634</v>
      </c>
      <c r="C32" s="160">
        <v>3804</v>
      </c>
      <c r="D32" s="160" t="s">
        <v>76</v>
      </c>
      <c r="F32" s="160">
        <f t="shared" ca="1" si="1"/>
        <v>9.3000000000000007</v>
      </c>
      <c r="G32" s="160">
        <f t="shared" ca="1" si="3"/>
        <v>46966</v>
      </c>
      <c r="H32" s="160">
        <f t="shared" ca="1" si="2"/>
        <v>28</v>
      </c>
      <c r="I32" s="160">
        <f ca="1">IF($G32="Всього:",SUM($I$4:I31),IF(AND(DAY($C$4)&gt;=15,H32=1),K32+L32,$C$32))</f>
        <v>3804</v>
      </c>
      <c r="J32" s="160">
        <f ca="1">IF($G32="Всього:",SUM($J$4:J31),IF(I32-SUM(K32:L32)&lt;0,0,I32-SUM(K32:L32)))</f>
        <v>3728.1507330590339</v>
      </c>
      <c r="K32" s="160">
        <f ca="1">IF(G32="Всього:",SUM($K$5:K31),IF(F32&lt;&gt;F31,(F32*O31/36000*(G32-CONCATENATE(DAY($C$4),".",MONTH(G31),".",YEAR(G31)))+(F31*O31/36000*(CONCATENATE(DAY($C$4),".",MONTH(G31),".",YEAR(G31))-G31))),F32*O31/36000*(G32-G31)))</f>
        <v>75.849266940966288</v>
      </c>
      <c r="L32" s="160">
        <f ca="1">IF(G32="Всього:",SUM($L$5:L31),$E$4)</f>
        <v>0</v>
      </c>
      <c r="M32" s="160">
        <f ca="1">IF(G32="Всього:",SUM($M$5:M31),IF($E$5="UAH",J32+L32+K32,J32+K32))</f>
        <v>3804</v>
      </c>
      <c r="N32" s="160" t="str">
        <f ca="1">IF(G32="Всього:",SUM($N$4:N31),IF($E$5="UAH","",L32))</f>
        <v/>
      </c>
      <c r="O32" s="160">
        <f t="shared" ca="1" si="0"/>
        <v>5743.1417049388383</v>
      </c>
    </row>
    <row r="33" spans="1:15" x14ac:dyDescent="0.25">
      <c r="A33" s="160" t="s">
        <v>205</v>
      </c>
      <c r="B33" s="160">
        <v>3803.9571162986153</v>
      </c>
      <c r="C33" s="160">
        <v>3804</v>
      </c>
      <c r="D33" s="160" t="s">
        <v>206</v>
      </c>
      <c r="F33" s="160">
        <f t="shared" ca="1" si="1"/>
        <v>9.3000000000000007</v>
      </c>
      <c r="G33" s="160">
        <f t="shared" ca="1" si="3"/>
        <v>46997</v>
      </c>
      <c r="H33" s="160">
        <f t="shared" ca="1" si="2"/>
        <v>29</v>
      </c>
      <c r="I33" s="160">
        <f ca="1">IF($G33="Всього:",SUM($I$4:I32),IF(AND(DAY($C$4)&gt;=15,H33=1),K33+L33,$C$32))</f>
        <v>3804</v>
      </c>
      <c r="J33" s="160">
        <f ca="1">IF($G33="Всього:",SUM($J$4:J32),IF(I33-SUM(K33:L33)&lt;0,0,I33-SUM(K33:L33)))</f>
        <v>3758.0070068462815</v>
      </c>
      <c r="K33" s="160">
        <f ca="1">IF(G33="Всього:",SUM($K$5:K32),IF(F33&lt;&gt;F32,(F33*O32/36000*(G33-CONCATENATE(DAY($C$4),".",MONTH(G32),".",YEAR(G32)))+(F32*O32/36000*(CONCATENATE(DAY($C$4),".",MONTH(G32),".",YEAR(G32))-G32))),F33*O32/36000*(G33-G32)))</f>
        <v>45.992993153718537</v>
      </c>
      <c r="L33" s="160">
        <f ca="1">IF(G33="Всього:",SUM($L$5:L32),$E$4)</f>
        <v>0</v>
      </c>
      <c r="M33" s="160">
        <f ca="1">IF(G33="Всього:",SUM($M$5:M32),IF($E$5="UAH",J33+L33+K33,J33+K33))</f>
        <v>3804</v>
      </c>
      <c r="N33" s="160" t="str">
        <f ca="1">IF(G33="Всього:",SUM($N$4:N32),IF($E$5="UAH","",L33))</f>
        <v/>
      </c>
      <c r="O33" s="160">
        <f t="shared" ca="1" si="0"/>
        <v>1985.1346980925568</v>
      </c>
    </row>
    <row r="34" spans="1:15" x14ac:dyDescent="0.25">
      <c r="A34" s="160" t="s">
        <v>207</v>
      </c>
      <c r="B34" s="160">
        <v>3795.2158627380263</v>
      </c>
      <c r="F34" s="160">
        <f t="shared" ca="1" si="1"/>
        <v>9.3000000000000007</v>
      </c>
      <c r="G34" s="160">
        <f t="shared" ca="1" si="3"/>
        <v>47027</v>
      </c>
      <c r="H34" s="160">
        <f t="shared" ca="1" si="2"/>
        <v>30</v>
      </c>
      <c r="I34" s="160">
        <f ca="1">IF($G34="Всього:",SUM($I$4:I33),IF(AND(DAY($C$4)&gt;=15,H34=1),K34+L34,$C$32))</f>
        <v>3804</v>
      </c>
      <c r="J34" s="160">
        <f ca="1">IF($G34="Всього:",SUM($J$4:J33),IF(I34-SUM(K34:L34)&lt;0,0,I34-SUM(K34:L34)))</f>
        <v>3788.6152060897825</v>
      </c>
      <c r="K34" s="160">
        <f ca="1">IF(G34="Всього:",SUM($K$5:K33),IF(F34&lt;&gt;F33,(F34*O33/36000*(G34-CONCATENATE(DAY($C$4),".",MONTH(G33),".",YEAR(G33)))+(F33*O33/36000*(CONCATENATE(DAY($C$4),".",MONTH(G33),".",YEAR(G33))-G33))),F34*O33/36000*(G34-G33)))</f>
        <v>15.384793910217315</v>
      </c>
      <c r="L34" s="160">
        <f ca="1">IF(G34="Всього:",SUM($L$5:L33),$E$4)</f>
        <v>0</v>
      </c>
      <c r="M34" s="160">
        <f ca="1">IF(G34="Всього:",SUM($M$5:M33),IF($E$5="UAH",J34+L34+K34,J34+K34))</f>
        <v>3804</v>
      </c>
      <c r="N34" s="160" t="str">
        <f ca="1">IF(G34="Всього:",SUM($N$4:N33),IF($E$5="UAH","",L34))</f>
        <v/>
      </c>
      <c r="O34" s="160">
        <f t="shared" ca="1" si="0"/>
        <v>-1803.4805079972257</v>
      </c>
    </row>
    <row r="35" spans="1:15" x14ac:dyDescent="0.25">
      <c r="F35" s="160">
        <f t="shared" ca="1" si="1"/>
        <v>9.3000000000000007</v>
      </c>
      <c r="G35" s="160">
        <f t="shared" ca="1" si="3"/>
        <v>47058</v>
      </c>
      <c r="H35" s="160">
        <f t="shared" ca="1" si="2"/>
        <v>31</v>
      </c>
      <c r="I35" s="160">
        <f ca="1">IF($G35="Всього:",SUM($I$4:I34),IF(AND(DAY($C$4)&gt;=15,H35=1),K35+L35,$C$32))</f>
        <v>3804</v>
      </c>
      <c r="J35" s="160">
        <f ca="1">IF($G35="Всього:",SUM($J$4:J34),IF(I35-SUM(K35:L35)&lt;0,0,I35-SUM(K35:L35)))</f>
        <v>3818.4428730682112</v>
      </c>
      <c r="K35" s="160">
        <f ca="1">IF(G35="Всього:",SUM($K$5:K34),IF(F35&lt;&gt;F34,(F35*O34/36000*(G35-CONCATENATE(DAY($C$4),".",MONTH(G34),".",YEAR(G34)))+(F34*O34/36000*(CONCATENATE(DAY($C$4),".",MONTH(G34),".",YEAR(G34))-G34))),F35*O34/36000*(G35-G34)))</f>
        <v>-14.442873068211115</v>
      </c>
      <c r="L35" s="160">
        <f ca="1">IF(G35="Всього:",SUM($L$5:L34),$E$4)</f>
        <v>0</v>
      </c>
      <c r="M35" s="160">
        <f ca="1">IF(G35="Всього:",SUM($M$5:M34),IF($E$5="UAH",J35+L35+K35,J35+K35))</f>
        <v>3804</v>
      </c>
      <c r="N35" s="160" t="str">
        <f ca="1">IF(G35="Всього:",SUM($N$4:N34),IF($E$5="UAH","",L35))</f>
        <v/>
      </c>
      <c r="O35" s="160">
        <f t="shared" ca="1" si="0"/>
        <v>-5621.9233810654368</v>
      </c>
    </row>
    <row r="36" spans="1:15" x14ac:dyDescent="0.25">
      <c r="F36" s="160">
        <f t="shared" ca="1" si="1"/>
        <v>9.3000000000000007</v>
      </c>
      <c r="G36" s="160">
        <f t="shared" ca="1" si="3"/>
        <v>47088</v>
      </c>
      <c r="H36" s="160">
        <f t="shared" ca="1" si="2"/>
        <v>32</v>
      </c>
      <c r="I36" s="160">
        <f ca="1">IF($G36="Всього:",SUM($I$4:I35),IF(AND(DAY($C$4)&gt;=15,H36=1),K36+L36,$C$32))</f>
        <v>3804</v>
      </c>
      <c r="J36" s="160">
        <f ca="1">IF($G36="Всього:",SUM($J$4:J35),IF(I36-SUM(K36:L36)&lt;0,0,I36-SUM(K36:L36)))</f>
        <v>3847.5699062032572</v>
      </c>
      <c r="K36" s="160">
        <f ca="1">IF(G36="Всього:",SUM($K$5:K35),IF(F36&lt;&gt;F35,(F36*O35/36000*(G36-CONCATENATE(DAY($C$4),".",MONTH(G35),".",YEAR(G35)))+(F35*O35/36000*(CONCATENATE(DAY($C$4),".",MONTH(G35),".",YEAR(G35))-G35))),F36*O35/36000*(G36-G35)))</f>
        <v>-43.56990620325714</v>
      </c>
      <c r="L36" s="160">
        <f ca="1">IF(G36="Всього:",SUM($L$5:L35),$E$4)</f>
        <v>0</v>
      </c>
      <c r="M36" s="160">
        <f ca="1">IF(G36="Всього:",SUM($M$5:M35),IF($E$5="UAH",J36+L36+K36,J36+K36))</f>
        <v>3804</v>
      </c>
      <c r="N36" s="160" t="str">
        <f ca="1">IF(G36="Всього:",SUM($N$4:N35),IF($E$5="UAH","",L36))</f>
        <v/>
      </c>
      <c r="O36" s="160">
        <f t="shared" ca="1" si="0"/>
        <v>-9469.493287268695</v>
      </c>
    </row>
    <row r="37" spans="1:15" x14ac:dyDescent="0.25">
      <c r="F37" s="160">
        <f t="shared" ca="1" si="1"/>
        <v>9.3000000000000007</v>
      </c>
      <c r="G37" s="160">
        <f t="shared" ca="1" si="3"/>
        <v>47119</v>
      </c>
      <c r="H37" s="160">
        <f t="shared" ca="1" si="2"/>
        <v>33</v>
      </c>
      <c r="I37" s="160">
        <f ca="1">IF($G37="Всього:",SUM($I$4:I36),IF(AND(DAY($C$4)&gt;=15,H37=1),K37+L37,$C$32))</f>
        <v>3804</v>
      </c>
      <c r="J37" s="160">
        <f ca="1">IF($G37="Всього:",SUM($J$4:J36),IF(I37-SUM(K37:L37)&lt;0,0,I37-SUM(K37:L37)))</f>
        <v>3879.8348587422101</v>
      </c>
      <c r="K37" s="160">
        <f ca="1">IF(G37="Всього:",SUM($K$5:K36),IF(F37&lt;&gt;F36,(F37*O36/36000*(G37-CONCATENATE(DAY($C$4),".",MONTH(G36),".",YEAR(G36)))+(F36*O36/36000*(CONCATENATE(DAY($C$4),".",MONTH(G36),".",YEAR(G36))-G36))),F37*O36/36000*(G37-G36)))</f>
        <v>-75.83485874221013</v>
      </c>
      <c r="L37" s="160">
        <f ca="1">IF(G37="Всього:",SUM($L$5:L36),$E$4)</f>
        <v>0</v>
      </c>
      <c r="M37" s="160">
        <f ca="1">IF(G37="Всього:",SUM($M$5:M36),IF($E$5="UAH",J37+L37+K37,J37+K37))</f>
        <v>3804</v>
      </c>
      <c r="N37" s="160" t="str">
        <f ca="1">IF(G37="Всього:",SUM($N$4:N36),IF($E$5="UAH","",L37))</f>
        <v/>
      </c>
      <c r="O37" s="160">
        <f t="shared" ca="1" si="0"/>
        <v>-13349.328146010905</v>
      </c>
    </row>
    <row r="38" spans="1:15" x14ac:dyDescent="0.25">
      <c r="F38" s="160">
        <f t="shared" ca="1" si="1"/>
        <v>9.3000000000000007</v>
      </c>
      <c r="G38" s="160">
        <f t="shared" ca="1" si="3"/>
        <v>47150</v>
      </c>
      <c r="H38" s="160">
        <f t="shared" ca="1" si="2"/>
        <v>34</v>
      </c>
      <c r="I38" s="160">
        <f ca="1">IF($G38="Всього:",SUM($I$4:I37),IF(AND(DAY($C$4)&gt;=15,H38=1),K38+L38,$C$32))</f>
        <v>3804</v>
      </c>
      <c r="J38" s="160">
        <f ca="1">IF($G38="Всього:",SUM($J$4:J37),IF(I38-SUM(K38:L38)&lt;0,0,I38-SUM(K38:L38)))</f>
        <v>3910.9058695693038</v>
      </c>
      <c r="K38" s="160">
        <f ca="1">IF(G38="Всього:",SUM($K$5:K37),IF(F38&lt;&gt;F37,(F38*O37/36000*(G38-CONCATENATE(DAY($C$4),".",MONTH(G37),".",YEAR(G37)))+(F37*O37/36000*(CONCATENATE(DAY($C$4),".",MONTH(G37),".",YEAR(G37))-G37))),F38*O37/36000*(G38-G37)))</f>
        <v>-106.905869569304</v>
      </c>
      <c r="L38" s="160">
        <f ca="1">IF(G38="Всього:",SUM($L$5:L37),$E$4)</f>
        <v>0</v>
      </c>
      <c r="M38" s="160">
        <f ca="1">IF(G38="Всього:",SUM($M$5:M37),IF($E$5="UAH",J38+L38+K38,J38+K38))</f>
        <v>3804</v>
      </c>
      <c r="N38" s="160" t="str">
        <f ca="1">IF(G38="Всього:",SUM($N$4:N37),IF($E$5="UAH","",L38))</f>
        <v/>
      </c>
      <c r="O38" s="160">
        <f t="shared" ca="1" si="0"/>
        <v>-17260.234015580209</v>
      </c>
    </row>
    <row r="39" spans="1:15" x14ac:dyDescent="0.25">
      <c r="F39" s="160">
        <f t="shared" ca="1" si="1"/>
        <v>9.3000000000000007</v>
      </c>
      <c r="G39" s="160">
        <f t="shared" ca="1" si="3"/>
        <v>47178</v>
      </c>
      <c r="H39" s="160">
        <f t="shared" ca="1" si="2"/>
        <v>35</v>
      </c>
      <c r="I39" s="160">
        <f ca="1">IF($G39="Всього:",SUM($I$4:I38),IF(AND(DAY($C$4)&gt;=15,H39=1),K39+L39,$C$32))</f>
        <v>3804</v>
      </c>
      <c r="J39" s="160">
        <f ca="1">IF($G39="Всього:",SUM($J$4:J38),IF(I39-SUM(K39:L39)&lt;0,0,I39-SUM(K39:L39)))</f>
        <v>3928.8490260460303</v>
      </c>
      <c r="K39" s="160">
        <f ca="1">IF(G39="Всього:",SUM($K$5:K38),IF(F39&lt;&gt;F38,(F39*O38/36000*(G39-CONCATENATE(DAY($C$4),".",MONTH(G38),".",YEAR(G38)))+(F38*O38/36000*(CONCATENATE(DAY($C$4),".",MONTH(G38),".",YEAR(G38))-G38))),F39*O38/36000*(G39-G38)))</f>
        <v>-124.84902604603016</v>
      </c>
      <c r="L39" s="160">
        <f ca="1">IF(G39="Всього:",SUM($L$5:L38),$E$4)</f>
        <v>0</v>
      </c>
      <c r="M39" s="160">
        <f ca="1">IF(G39="Всього:",SUM($M$5:M38),IF($E$5="UAH",J39+L39+K39,J39+K39))</f>
        <v>3804</v>
      </c>
      <c r="N39" s="160" t="str">
        <f ca="1">IF(G39="Всього:",SUM($N$4:N38),IF($E$5="UAH","",L39))</f>
        <v/>
      </c>
      <c r="O39" s="160">
        <f t="shared" ca="1" si="0"/>
        <v>-21189.08304162624</v>
      </c>
    </row>
    <row r="40" spans="1:15" x14ac:dyDescent="0.25">
      <c r="F40" s="160">
        <f t="shared" ca="1" si="1"/>
        <v>9.3000000000000007</v>
      </c>
      <c r="G40" s="160">
        <f t="shared" ca="1" si="3"/>
        <v>47209</v>
      </c>
      <c r="H40" s="160">
        <f t="shared" ca="1" si="2"/>
        <v>36</v>
      </c>
      <c r="I40" s="160">
        <f ca="1">IF($G40="Всього:",SUM($I$4:I39),IF(AND(DAY($C$4)&gt;=15,H40=1),K40+L40,$C$32))</f>
        <v>3804</v>
      </c>
      <c r="J40" s="160">
        <f ca="1">IF($G40="Всього:",SUM($J$4:J39),IF(I40-SUM(K40:L40)&lt;0,0,I40-SUM(K40:L40)))</f>
        <v>3973.6892400250235</v>
      </c>
      <c r="K40" s="160">
        <f ca="1">IF(G40="Всього:",SUM($K$5:K39),IF(F40&lt;&gt;F39,(F40*O39/36000*(G40-CONCATENATE(DAY($C$4),".",MONTH(G39),".",YEAR(G39)))+(F39*O39/36000*(CONCATENATE(DAY($C$4),".",MONTH(G39),".",YEAR(G39))-G39))),F40*O39/36000*(G40-G39)))</f>
        <v>-169.68924002502351</v>
      </c>
      <c r="L40" s="160">
        <f ca="1">IF(G40="Всього:",SUM($L$5:L39),$E$4)</f>
        <v>0</v>
      </c>
      <c r="M40" s="160">
        <f ca="1">IF(G40="Всього:",SUM($M$5:M39),IF($E$5="UAH",J40+L40+K40,J40+K40))</f>
        <v>3804</v>
      </c>
      <c r="N40" s="160" t="str">
        <f ca="1">IF(G40="Всього:",SUM($N$4:N39),IF($E$5="UAH","",L40))</f>
        <v/>
      </c>
      <c r="O40" s="160">
        <f t="shared" ca="1" si="0"/>
        <v>-25162.772281651261</v>
      </c>
    </row>
    <row r="41" spans="1:15" x14ac:dyDescent="0.25">
      <c r="F41" s="160">
        <f t="shared" ca="1" si="1"/>
        <v>9.3000000000000007</v>
      </c>
      <c r="G41" s="160">
        <f t="shared" ca="1" si="3"/>
        <v>47239</v>
      </c>
      <c r="H41" s="160">
        <f t="shared" ca="1" si="2"/>
        <v>37</v>
      </c>
      <c r="I41" s="160">
        <f ca="1">IF($G41="Всього:",SUM($I$4:I40),IF(AND(DAY($C$4)&gt;=15,H41=1),K41+L41,$C$32))</f>
        <v>3804</v>
      </c>
      <c r="J41" s="160">
        <f ca="1">IF($G41="Всього:",SUM($J$4:J40),IF(I41-SUM(K41:L41)&lt;0,0,I41-SUM(K41:L41)))</f>
        <v>3999.0114851827975</v>
      </c>
      <c r="K41" s="160">
        <f ca="1">IF(G41="Всього:",SUM($K$5:K40),IF(F41&lt;&gt;F40,(F41*O40/36000*(G41-CONCATENATE(DAY($C$4),".",MONTH(G40),".",YEAR(G40)))+(F40*O40/36000*(CONCATENATE(DAY($C$4),".",MONTH(G40),".",YEAR(G40))-G40))),F41*O40/36000*(G41-G40)))</f>
        <v>-195.01148518279729</v>
      </c>
      <c r="L41" s="160">
        <f ca="1">IF(G41="Всього:",SUM($L$5:L40),$E$4)</f>
        <v>0</v>
      </c>
      <c r="M41" s="160">
        <f ca="1">IF(G41="Всього:",SUM($M$5:M40),IF($E$5="UAH",J41+L41+K41,J41+K41))</f>
        <v>3804</v>
      </c>
      <c r="N41" s="160" t="str">
        <f ca="1">IF(G41="Всього:",SUM($N$4:N40),IF($E$5="UAH","",L41))</f>
        <v/>
      </c>
      <c r="O41" s="160">
        <f t="shared" ca="1" si="0"/>
        <v>-29161.783766834058</v>
      </c>
    </row>
    <row r="42" spans="1:15" x14ac:dyDescent="0.25">
      <c r="F42" s="160">
        <f t="shared" ca="1" si="1"/>
        <v>9.3000000000000007</v>
      </c>
      <c r="G42" s="160">
        <f t="shared" ca="1" si="3"/>
        <v>47270</v>
      </c>
      <c r="H42" s="160">
        <f t="shared" ca="1" si="2"/>
        <v>38</v>
      </c>
      <c r="I42" s="160">
        <f ca="1">IF($G42="Всього:",SUM($I$4:I41),IF(AND(DAY($C$4)&gt;=15,H42=1),K42+L42,$C$32))</f>
        <v>3804</v>
      </c>
      <c r="J42" s="160">
        <f ca="1">IF($G42="Всього:",SUM($J$4:J41),IF(I42-SUM(K42:L42)&lt;0,0,I42-SUM(K42:L42)))</f>
        <v>4037.537284999396</v>
      </c>
      <c r="K42" s="160">
        <f ca="1">IF(G42="Всього:",SUM($K$5:K41),IF(F42&lt;&gt;F41,(F42*O41/36000*(G42-CONCATENATE(DAY($C$4),".",MONTH(G41),".",YEAR(G41)))+(F41*O41/36000*(CONCATENATE(DAY($C$4),".",MONTH(G41),".",YEAR(G41))-G41))),F42*O41/36000*(G42-G41)))</f>
        <v>-233.53728499939609</v>
      </c>
      <c r="L42" s="160">
        <f ca="1">IF(G42="Всього:",SUM($L$5:L41),$E$4)</f>
        <v>0</v>
      </c>
      <c r="M42" s="160">
        <f ca="1">IF(G42="Всього:",SUM($M$5:M41),IF($E$5="UAH",J42+L42+K42,J42+K42))</f>
        <v>3804</v>
      </c>
      <c r="N42" s="160" t="str">
        <f ca="1">IF(G42="Всього:",SUM($N$4:N41),IF($E$5="UAH","",L42))</f>
        <v/>
      </c>
      <c r="O42" s="160">
        <f t="shared" ca="1" si="0"/>
        <v>-33199.321051833453</v>
      </c>
    </row>
    <row r="43" spans="1:15" x14ac:dyDescent="0.25">
      <c r="F43" s="160">
        <f t="shared" ca="1" si="1"/>
        <v>9.3000000000000007</v>
      </c>
      <c r="G43" s="160">
        <f t="shared" ca="1" si="3"/>
        <v>47300</v>
      </c>
      <c r="H43" s="160">
        <f t="shared" ca="1" si="2"/>
        <v>39</v>
      </c>
      <c r="I43" s="160">
        <f ca="1">IF($G43="Всього:",SUM($I$4:I42),IF(AND(DAY($C$4)&gt;=15,H43=1),K43+L43,$C$32))</f>
        <v>3804</v>
      </c>
      <c r="J43" s="160">
        <f ca="1">IF($G43="Всього:",SUM($J$4:J42),IF(I43-SUM(K43:L43)&lt;0,0,I43-SUM(K43:L43)))</f>
        <v>4061.2947381517092</v>
      </c>
      <c r="K43" s="160">
        <f ca="1">IF(G43="Всього:",SUM($K$5:K42),IF(F43&lt;&gt;F42,(F43*O42/36000*(G43-CONCATENATE(DAY($C$4),".",MONTH(G42),".",YEAR(G42)))+(F42*O42/36000*(CONCATENATE(DAY($C$4),".",MONTH(G42),".",YEAR(G42))-G42))),F43*O42/36000*(G43-G42)))</f>
        <v>-257.29473815170923</v>
      </c>
      <c r="L43" s="160">
        <f ca="1">IF(G43="Всього:",SUM($L$5:L42),$E$4)</f>
        <v>0</v>
      </c>
      <c r="M43" s="160">
        <f ca="1">IF(G43="Всього:",SUM($M$5:M42),IF($E$5="UAH",J43+L43+K43,J43+K43))</f>
        <v>3804</v>
      </c>
      <c r="N43" s="160" t="str">
        <f ca="1">IF(G43="Всього:",SUM($N$4:N42),IF($E$5="UAH","",L43))</f>
        <v/>
      </c>
      <c r="O43" s="160">
        <f t="shared" ca="1" si="0"/>
        <v>-37260.615789985161</v>
      </c>
    </row>
    <row r="44" spans="1:15" x14ac:dyDescent="0.25">
      <c r="F44" s="160">
        <f t="shared" ca="1" si="1"/>
        <v>9.3000000000000007</v>
      </c>
      <c r="G44" s="160">
        <f t="shared" ca="1" si="3"/>
        <v>47331</v>
      </c>
      <c r="H44" s="160">
        <f t="shared" ca="1" si="2"/>
        <v>40</v>
      </c>
      <c r="I44" s="160">
        <f ca="1">IF($G44="Всього:",SUM($I$4:I43),IF(AND(DAY($C$4)&gt;=15,H44=1),K44+L44,$C$32))</f>
        <v>3804</v>
      </c>
      <c r="J44" s="160">
        <f ca="1">IF($G44="Всього:",SUM($J$4:J43),IF(I44-SUM(K44:L44)&lt;0,0,I44-SUM(K44:L44)))</f>
        <v>4102.3954314514649</v>
      </c>
      <c r="K44" s="160">
        <f ca="1">IF(G44="Всього:",SUM($K$5:K43),IF(F44&lt;&gt;F43,(F44*O43/36000*(G44-CONCATENATE(DAY($C$4),".",MONTH(G43),".",YEAR(G43)))+(F43*O43/36000*(CONCATENATE(DAY($C$4),".",MONTH(G43),".",YEAR(G43))-G43))),F44*O43/36000*(G44-G43)))</f>
        <v>-298.3954314514645</v>
      </c>
      <c r="L44" s="160">
        <f ca="1">IF(G44="Всього:",SUM($L$5:L43),$E$4)</f>
        <v>0</v>
      </c>
      <c r="M44" s="160">
        <f ca="1">IF(G44="Всього:",SUM($M$5:M43),IF($E$5="UAH",J44+L44+K44,J44+K44))</f>
        <v>3804.0000000000005</v>
      </c>
      <c r="N44" s="160" t="str">
        <f ca="1">IF(G44="Всього:",SUM($N$4:N43),IF($E$5="UAH","",L44))</f>
        <v/>
      </c>
      <c r="O44" s="160">
        <f t="shared" ca="1" si="0"/>
        <v>-41363.011221436624</v>
      </c>
    </row>
    <row r="45" spans="1:15" x14ac:dyDescent="0.25">
      <c r="F45" s="160">
        <f t="shared" ca="1" si="1"/>
        <v>9.3000000000000007</v>
      </c>
      <c r="G45" s="160">
        <f t="shared" ca="1" si="3"/>
        <v>47362</v>
      </c>
      <c r="H45" s="160">
        <f t="shared" ca="1" si="2"/>
        <v>41</v>
      </c>
      <c r="I45" s="160">
        <f ca="1">IF($G45="Всього:",SUM($I$4:I44),IF(AND(DAY($C$4)&gt;=15,H45=1),K45+L45,$C$32))</f>
        <v>3804</v>
      </c>
      <c r="J45" s="160">
        <f ca="1">IF($G45="Всього:",SUM($J$4:J44),IF(I45-SUM(K45:L45)&lt;0,0,I45-SUM(K45:L45)))</f>
        <v>4135.2487815316717</v>
      </c>
      <c r="K45" s="160">
        <f ca="1">IF(G45="Всього:",SUM($K$5:K44),IF(F45&lt;&gt;F44,(F45*O44/36000*(G45-CONCATENATE(DAY($C$4),".",MONTH(G44),".",YEAR(G44)))+(F44*O44/36000*(CONCATENATE(DAY($C$4),".",MONTH(G44),".",YEAR(G44))-G44))),F45*O44/36000*(G45-G44)))</f>
        <v>-331.24878153167163</v>
      </c>
      <c r="L45" s="160">
        <f ca="1">IF(G45="Всього:",SUM($L$5:L44),$E$4)</f>
        <v>0</v>
      </c>
      <c r="M45" s="160">
        <f ca="1">IF(G45="Всього:",SUM($M$5:M44),IF($E$5="UAH",J45+L45+K45,J45+K45))</f>
        <v>3804</v>
      </c>
      <c r="N45" s="160" t="str">
        <f ca="1">IF(G45="Всього:",SUM($N$4:N44),IF($E$5="UAH","",L45))</f>
        <v/>
      </c>
      <c r="O45" s="160">
        <f t="shared" ca="1" si="0"/>
        <v>-45498.260002968294</v>
      </c>
    </row>
    <row r="46" spans="1:15" x14ac:dyDescent="0.25">
      <c r="F46" s="160">
        <f t="shared" ca="1" si="1"/>
        <v>9.3000000000000007</v>
      </c>
      <c r="G46" s="160">
        <f t="shared" ca="1" si="3"/>
        <v>47392</v>
      </c>
      <c r="H46" s="160">
        <f t="shared" ca="1" si="2"/>
        <v>42</v>
      </c>
      <c r="I46" s="160">
        <f ca="1">IF($G46="Всього:",SUM($I$4:I45),IF(AND(DAY($C$4)&gt;=15,H46=1),K46+L46,$C$32))</f>
        <v>3804</v>
      </c>
      <c r="J46" s="160">
        <f ca="1">IF($G46="Всього:",SUM($J$4:J45),IF(I46-SUM(K46:L46)&lt;0,0,I46-SUM(K46:L46)))</f>
        <v>4156.6115150230044</v>
      </c>
      <c r="K46" s="160">
        <f ca="1">IF(G46="Всього:",SUM($K$5:K45),IF(F46&lt;&gt;F45,(F46*O45/36000*(G46-CONCATENATE(DAY($C$4),".",MONTH(G45),".",YEAR(G45)))+(F45*O45/36000*(CONCATENATE(DAY($C$4),".",MONTH(G45),".",YEAR(G45))-G45))),F46*O45/36000*(G46-G45)))</f>
        <v>-352.6115150230043</v>
      </c>
      <c r="L46" s="160">
        <f ca="1">IF(G46="Всього:",SUM($L$5:L45),$E$4)</f>
        <v>0</v>
      </c>
      <c r="M46" s="160">
        <f ca="1">IF(G46="Всього:",SUM($M$5:M45),IF($E$5="UAH",J46+L46+K46,J46+K46))</f>
        <v>3804</v>
      </c>
      <c r="N46" s="160" t="str">
        <f ca="1">IF(G46="Всього:",SUM($N$4:N45),IF($E$5="UAH","",L46))</f>
        <v/>
      </c>
      <c r="O46" s="160">
        <f t="shared" ca="1" si="0"/>
        <v>-49654.871517991298</v>
      </c>
    </row>
    <row r="47" spans="1:15" x14ac:dyDescent="0.25">
      <c r="F47" s="160">
        <f t="shared" ca="1" si="1"/>
        <v>9.3000000000000007</v>
      </c>
      <c r="G47" s="160">
        <f t="shared" ca="1" si="3"/>
        <v>47423</v>
      </c>
      <c r="H47" s="160">
        <f t="shared" ca="1" si="2"/>
        <v>43</v>
      </c>
      <c r="I47" s="160">
        <f ca="1">IF($G47="Всього:",SUM($I$4:I46),IF(AND(DAY($C$4)&gt;=15,H47=1),K47+L47,$C$32))</f>
        <v>3804</v>
      </c>
      <c r="J47" s="160">
        <f ca="1">IF($G47="Всього:",SUM($J$4:J46),IF(I47-SUM(K47:L47)&lt;0,0,I47-SUM(K47:L47)))</f>
        <v>4201.6527627399137</v>
      </c>
      <c r="K47" s="160">
        <f ca="1">IF(G47="Всього:",SUM($K$5:K46),IF(F47&lt;&gt;F46,(F47*O46/36000*(G47-CONCATENATE(DAY($C$4),".",MONTH(G46),".",YEAR(G46)))+(F46*O46/36000*(CONCATENATE(DAY($C$4),".",MONTH(G46),".",YEAR(G46))-G46))),F47*O46/36000*(G47-G46)))</f>
        <v>-397.65276273991367</v>
      </c>
      <c r="L47" s="160">
        <f ca="1">IF(G47="Всього:",SUM($L$5:L46),$E$4)</f>
        <v>0</v>
      </c>
      <c r="M47" s="160">
        <f ca="1">IF(G47="Всього:",SUM($M$5:M46),IF($E$5="UAH",J47+L47+K47,J47+K47))</f>
        <v>3804</v>
      </c>
      <c r="N47" s="160" t="str">
        <f ca="1">IF(G47="Всього:",SUM($N$4:N46),IF($E$5="UAH","",L47))</f>
        <v/>
      </c>
      <c r="O47" s="160">
        <f t="shared" ca="1" si="0"/>
        <v>-53856.52428073121</v>
      </c>
    </row>
    <row r="48" spans="1:15" x14ac:dyDescent="0.25">
      <c r="F48" s="160">
        <f t="shared" ca="1" si="1"/>
        <v>9.3000000000000007</v>
      </c>
      <c r="G48" s="160">
        <f t="shared" ca="1" si="3"/>
        <v>47453</v>
      </c>
      <c r="H48" s="160">
        <f t="shared" ca="1" si="2"/>
        <v>44</v>
      </c>
      <c r="I48" s="160">
        <f ca="1">IF($G48="Всього:",SUM($I$4:I47),IF(AND(DAY($C$4)&gt;=15,H48=1),K48+L48,$C$32))</f>
        <v>3804</v>
      </c>
      <c r="J48" s="160">
        <f ca="1">IF($G48="Всього:",SUM($J$4:J47),IF(I48-SUM(K48:L48)&lt;0,0,I48-SUM(K48:L48)))</f>
        <v>4221.3880631756665</v>
      </c>
      <c r="K48" s="160">
        <f ca="1">IF(G48="Всього:",SUM($K$5:K47),IF(F48&lt;&gt;F47,(F48*O47/36000*(G48-CONCATENATE(DAY($C$4),".",MONTH(G47),".",YEAR(G47)))+(F47*O47/36000*(CONCATENATE(DAY($C$4),".",MONTH(G47),".",YEAR(G47))-G47))),F48*O47/36000*(G48-G47)))</f>
        <v>-417.3880631756669</v>
      </c>
      <c r="L48" s="160">
        <f ca="1">IF(G48="Всього:",SUM($L$5:L47),$E$4)</f>
        <v>0</v>
      </c>
      <c r="M48" s="160">
        <f ca="1">IF(G48="Всього:",SUM($M$5:M47),IF($E$5="UAH",J48+L48+K48,J48+K48))</f>
        <v>3803.9999999999995</v>
      </c>
      <c r="N48" s="160" t="str">
        <f ca="1">IF(G48="Всього:",SUM($N$4:N47),IF($E$5="UAH","",L48))</f>
        <v/>
      </c>
      <c r="O48" s="160">
        <f t="shared" ca="1" si="0"/>
        <v>-58077.912343906879</v>
      </c>
    </row>
    <row r="49" spans="6:15" x14ac:dyDescent="0.25">
      <c r="F49" s="160">
        <f t="shared" ca="1" si="1"/>
        <v>9.3000000000000007</v>
      </c>
      <c r="G49" s="160">
        <f t="shared" ca="1" si="3"/>
        <v>47484</v>
      </c>
      <c r="H49" s="160">
        <f t="shared" ca="1" si="2"/>
        <v>45</v>
      </c>
      <c r="I49" s="160">
        <f ca="1">IF($G49="Всього:",SUM($I$4:I48),IF(AND(DAY($C$4)&gt;=15,H49=1),K49+L49,$C$32))</f>
        <v>3804</v>
      </c>
      <c r="J49" s="160">
        <f ca="1">IF($G49="Всього:",SUM($J$4:J48),IF(I49-SUM(K49:L49)&lt;0,0,I49-SUM(K49:L49)))</f>
        <v>4269.1072813541214</v>
      </c>
      <c r="K49" s="160">
        <f ca="1">IF(G49="Всього:",SUM($K$5:K48),IF(F49&lt;&gt;F48,(F49*O48/36000*(G49-CONCATENATE(DAY($C$4),".",MONTH(G48),".",YEAR(G48)))+(F48*O48/36000*(CONCATENATE(DAY($C$4),".",MONTH(G48),".",YEAR(G48))-G48))),F49*O48/36000*(G49-G48)))</f>
        <v>-465.10728135412097</v>
      </c>
      <c r="L49" s="160">
        <f ca="1">IF(G49="Всього:",SUM($L$5:L48),$E$4)</f>
        <v>0</v>
      </c>
      <c r="M49" s="160">
        <f ca="1">IF(G49="Всього:",SUM($M$5:M48),IF($E$5="UAH",J49+L49+K49,J49+K49))</f>
        <v>3804.0000000000005</v>
      </c>
      <c r="N49" s="160" t="str">
        <f ca="1">IF(G49="Всього:",SUM($N$4:N48),IF($E$5="UAH","",L49))</f>
        <v/>
      </c>
      <c r="O49" s="160">
        <f t="shared" ca="1" si="0"/>
        <v>-62347.019625261004</v>
      </c>
    </row>
    <row r="50" spans="6:15" x14ac:dyDescent="0.25">
      <c r="F50" s="160">
        <f t="shared" ca="1" si="1"/>
        <v>9.3000000000000007</v>
      </c>
      <c r="G50" s="160">
        <f t="shared" ca="1" si="3"/>
        <v>47515</v>
      </c>
      <c r="H50" s="160">
        <f t="shared" ca="1" si="2"/>
        <v>46</v>
      </c>
      <c r="I50" s="160">
        <f ca="1">IF($G50="Всього:",SUM($I$4:I49),IF(AND(DAY($C$4)&gt;=15,H50=1),K50+L50,$C$32))</f>
        <v>3804</v>
      </c>
      <c r="J50" s="160">
        <f ca="1">IF($G50="Всього:",SUM($J$4:J49),IF(I50-SUM(K50:L50)&lt;0,0,I50-SUM(K50:L50)))</f>
        <v>4303.2957154989654</v>
      </c>
      <c r="K50" s="160">
        <f ca="1">IF(G50="Всього:",SUM($K$5:K49),IF(F50&lt;&gt;F49,(F50*O49/36000*(G50-CONCATENATE(DAY($C$4),".",MONTH(G49),".",YEAR(G49)))+(F49*O49/36000*(CONCATENATE(DAY($C$4),".",MONTH(G49),".",YEAR(G49))-G49))),F50*O49/36000*(G50-G49)))</f>
        <v>-499.29571549896525</v>
      </c>
      <c r="L50" s="160">
        <f ca="1">IF(G50="Всього:",SUM($L$5:L49),$E$4)</f>
        <v>0</v>
      </c>
      <c r="M50" s="160">
        <f ca="1">IF(G50="Всього:",SUM($M$5:M49),IF($E$5="UAH",J50+L50+K50,J50+K50))</f>
        <v>3804</v>
      </c>
      <c r="N50" s="160" t="str">
        <f ca="1">IF(G50="Всього:",SUM($N$4:N49),IF($E$5="UAH","",L50))</f>
        <v/>
      </c>
      <c r="O50" s="160">
        <f t="shared" ca="1" si="0"/>
        <v>-66650.315340759975</v>
      </c>
    </row>
    <row r="51" spans="6:15" x14ac:dyDescent="0.25">
      <c r="F51" s="160">
        <f t="shared" ca="1" si="1"/>
        <v>9.3000000000000007</v>
      </c>
      <c r="G51" s="160">
        <f t="shared" ca="1" si="3"/>
        <v>47543</v>
      </c>
      <c r="H51" s="160">
        <f t="shared" ca="1" si="2"/>
        <v>47</v>
      </c>
      <c r="I51" s="160">
        <f ca="1">IF($G51="Всього:",SUM($I$4:I50),IF(AND(DAY($C$4)&gt;=15,H51=1),K51+L51,$C$32))</f>
        <v>3804</v>
      </c>
      <c r="J51" s="160">
        <f ca="1">IF($G51="Всього:",SUM($J$4:J50),IF(I51-SUM(K51:L51)&lt;0,0,I51-SUM(K51:L51)))</f>
        <v>4286.1039476314972</v>
      </c>
      <c r="K51" s="160">
        <f ca="1">IF(G51="Всього:",SUM($K$5:K50),IF(F51&lt;&gt;F50,(F51*O50/36000*(G51-CONCATENATE(DAY($C$4),".",MONTH(G50),".",YEAR(G50)))+(F50*O50/36000*(CONCATENATE(DAY($C$4),".",MONTH(G50),".",YEAR(G50))-G50))),F51*O50/36000*(G51-G50)))</f>
        <v>-482.10394763149714</v>
      </c>
      <c r="L51" s="160">
        <f ca="1">IF(G51="Всього:",SUM($L$5:L50),$E$4)</f>
        <v>0</v>
      </c>
      <c r="M51" s="160">
        <f ca="1">IF(G51="Всього:",SUM($M$5:M50),IF($E$5="UAH",J51+L51+K51,J51+K51))</f>
        <v>3804</v>
      </c>
      <c r="N51" s="160" t="str">
        <f ca="1">IF(G51="Всього:",SUM($N$4:N50),IF($E$5="UAH","",L51))</f>
        <v/>
      </c>
      <c r="O51" s="160">
        <f t="shared" ca="1" si="0"/>
        <v>-70936.419288391466</v>
      </c>
    </row>
    <row r="52" spans="6:15" x14ac:dyDescent="0.25">
      <c r="F52" s="160">
        <f t="shared" ca="1" si="1"/>
        <v>9.3000000000000007</v>
      </c>
      <c r="G52" s="160">
        <f t="shared" ca="1" si="3"/>
        <v>47574</v>
      </c>
      <c r="H52" s="160">
        <f t="shared" ca="1" si="2"/>
        <v>48</v>
      </c>
      <c r="I52" s="160">
        <f ca="1">IF($G52="Всього:",SUM($I$4:I51),IF(AND(DAY($C$4)&gt;=15,H52=1),K52+L52,$C$32))</f>
        <v>3804</v>
      </c>
      <c r="J52" s="160">
        <f ca="1">IF($G52="Всього:",SUM($J$4:J51),IF(I52-SUM(K52:L52)&lt;0,0,I52-SUM(K52:L52)))</f>
        <v>4372.0824911345353</v>
      </c>
      <c r="K52" s="160">
        <f ca="1">IF(G52="Всього:",SUM($K$5:K51),IF(F52&lt;&gt;F51,(F52*O51/36000*(G52-CONCATENATE(DAY($C$4),".",MONTH(G51),".",YEAR(G51)))+(F51*O51/36000*(CONCATENATE(DAY($C$4),".",MONTH(G51),".",YEAR(G51))-G51))),F52*O51/36000*(G52-G51)))</f>
        <v>-568.08249113453508</v>
      </c>
      <c r="L52" s="160">
        <f ca="1">IF(G52="Всього:",SUM($L$5:L51),$E$4)</f>
        <v>0</v>
      </c>
      <c r="M52" s="160">
        <f ca="1">IF(G52="Всього:",SUM($M$5:M51),IF($E$5="UAH",J52+L52+K52,J52+K52))</f>
        <v>3804</v>
      </c>
      <c r="N52" s="160" t="str">
        <f ca="1">IF(G52="Всього:",SUM($N$4:N51),IF($E$5="UAH","",L52))</f>
        <v/>
      </c>
      <c r="O52" s="160">
        <f t="shared" ca="1" si="0"/>
        <v>-75308.501779526006</v>
      </c>
    </row>
    <row r="53" spans="6:15" x14ac:dyDescent="0.25">
      <c r="F53" s="160">
        <f t="shared" ca="1" si="1"/>
        <v>9.3000000000000007</v>
      </c>
      <c r="G53" s="160">
        <f t="shared" ca="1" si="3"/>
        <v>47604</v>
      </c>
      <c r="H53" s="160">
        <f t="shared" ca="1" si="2"/>
        <v>49</v>
      </c>
      <c r="I53" s="160">
        <f ca="1">IF($G53="Всього:",SUM($I$4:I52),IF(AND(DAY($C$4)&gt;=15,H53=1),K53+L53,$C$32))</f>
        <v>3804</v>
      </c>
      <c r="J53" s="160">
        <f ca="1">IF($G53="Всього:",SUM($J$4:J52),IF(I53-SUM(K53:L53)&lt;0,0,I53-SUM(K53:L53)))</f>
        <v>4387.6408887913267</v>
      </c>
      <c r="K53" s="160">
        <f ca="1">IF(G53="Всього:",SUM($K$5:K52),IF(F53&lt;&gt;F52,(F53*O52/36000*(G53-CONCATENATE(DAY($C$4),".",MONTH(G52),".",YEAR(G52)))+(F52*O52/36000*(CONCATENATE(DAY($C$4),".",MONTH(G52),".",YEAR(G52))-G52))),F53*O52/36000*(G53-G52)))</f>
        <v>-583.64088879132669</v>
      </c>
      <c r="L53" s="160">
        <f ca="1">IF(G53="Всього:",SUM($L$5:L52),$E$4)</f>
        <v>0</v>
      </c>
      <c r="M53" s="160">
        <f ca="1">IF(G53="Всього:",SUM($M$5:M52),IF($E$5="UAH",J53+L53+K53,J53+K53))</f>
        <v>3804</v>
      </c>
      <c r="N53" s="160" t="str">
        <f ca="1">IF(G53="Всього:",SUM($N$4:N52),IF($E$5="UAH","",L53))</f>
        <v/>
      </c>
      <c r="O53" s="160">
        <f t="shared" ca="1" si="0"/>
        <v>-79696.142668317334</v>
      </c>
    </row>
    <row r="54" spans="6:15" x14ac:dyDescent="0.25">
      <c r="F54" s="160">
        <f t="shared" ca="1" si="1"/>
        <v>9.3000000000000007</v>
      </c>
      <c r="G54" s="160">
        <f t="shared" ca="1" si="3"/>
        <v>47635</v>
      </c>
      <c r="H54" s="160">
        <f t="shared" ca="1" si="2"/>
        <v>50</v>
      </c>
      <c r="I54" s="160">
        <f ca="1">IF($G54="Всього:",SUM($I$4:I53),IF(AND(DAY($C$4)&gt;=15,H54=1),K54+L54,$C$32))</f>
        <v>3804</v>
      </c>
      <c r="J54" s="160">
        <f ca="1">IF($G54="Всього:",SUM($J$4:J53),IF(I54-SUM(K54:L54)&lt;0,0,I54-SUM(K54:L54)))</f>
        <v>4442.2332758687744</v>
      </c>
      <c r="K54" s="160">
        <f ca="1">IF(G54="Всього:",SUM($K$5:K53),IF(F54&lt;&gt;F53,(F54*O53/36000*(G54-CONCATENATE(DAY($C$4),".",MONTH(G53),".",YEAR(G53)))+(F53*O53/36000*(CONCATENATE(DAY($C$4),".",MONTH(G53),".",YEAR(G53))-G53))),F54*O53/36000*(G54-G53)))</f>
        <v>-638.23327586877474</v>
      </c>
      <c r="L54" s="160">
        <f ca="1">IF(G54="Всього:",SUM($L$5:L53),$E$4)</f>
        <v>0</v>
      </c>
      <c r="M54" s="160">
        <f ca="1">IF(G54="Всього:",SUM($M$5:M53),IF($E$5="UAH",J54+L54+K54,J54+K54))</f>
        <v>3803.9999999999995</v>
      </c>
      <c r="N54" s="160" t="str">
        <f ca="1">IF(G54="Всього:",SUM($N$4:N53),IF($E$5="UAH","",L54))</f>
        <v/>
      </c>
      <c r="O54" s="160">
        <f t="shared" ca="1" si="0"/>
        <v>-84138.375944186104</v>
      </c>
    </row>
    <row r="55" spans="6:15" x14ac:dyDescent="0.25">
      <c r="F55" s="160">
        <f t="shared" ca="1" si="1"/>
        <v>9.3000000000000007</v>
      </c>
      <c r="G55" s="160">
        <f t="shared" ca="1" si="3"/>
        <v>47665</v>
      </c>
      <c r="H55" s="160">
        <f t="shared" ca="1" si="2"/>
        <v>51</v>
      </c>
      <c r="I55" s="160">
        <f ca="1">IF($G55="Всього:",SUM($I$4:I54),IF(AND(DAY($C$4)&gt;=15,H55=1),K55+L55,$C$32))</f>
        <v>3804</v>
      </c>
      <c r="J55" s="160">
        <f ca="1">IF($G55="Всього:",SUM($J$4:J54),IF(I55-SUM(K55:L55)&lt;0,0,I55-SUM(K55:L55)))</f>
        <v>4456.0724135674427</v>
      </c>
      <c r="K55" s="160">
        <f ca="1">IF(G55="Всього:",SUM($K$5:K54),IF(F55&lt;&gt;F54,(F55*O54/36000*(G55-CONCATENATE(DAY($C$4),".",MONTH(G54),".",YEAR(G54)))+(F54*O54/36000*(CONCATENATE(DAY($C$4),".",MONTH(G54),".",YEAR(G54))-G54))),F55*O54/36000*(G55-G54)))</f>
        <v>-652.07241356744237</v>
      </c>
      <c r="L55" s="160">
        <f ca="1">IF(G55="Всього:",SUM($L$5:L54),$E$4)</f>
        <v>0</v>
      </c>
      <c r="M55" s="160">
        <f ca="1">IF(G55="Всього:",SUM($M$5:M54),IF($E$5="UAH",J55+L55+K55,J55+K55))</f>
        <v>3804.0000000000005</v>
      </c>
      <c r="N55" s="160" t="str">
        <f ca="1">IF(G55="Всього:",SUM($N$4:N54),IF($E$5="UAH","",L55))</f>
        <v/>
      </c>
      <c r="O55" s="160">
        <f t="shared" ca="1" si="0"/>
        <v>-88594.448357753543</v>
      </c>
    </row>
    <row r="56" spans="6:15" x14ac:dyDescent="0.25">
      <c r="F56" s="160">
        <f t="shared" ca="1" si="1"/>
        <v>9.3000000000000007</v>
      </c>
      <c r="G56" s="160">
        <f t="shared" ca="1" si="3"/>
        <v>47696</v>
      </c>
      <c r="H56" s="160">
        <f t="shared" ca="1" si="2"/>
        <v>52</v>
      </c>
      <c r="I56" s="160">
        <f ca="1">IF($G56="Всього:",SUM($I$4:I55),IF(AND(DAY($C$4)&gt;=15,H56=1),K56+L56,$C$32))</f>
        <v>3804</v>
      </c>
      <c r="J56" s="160">
        <f ca="1">IF($G56="Всього:",SUM($J$4:J55),IF(I56-SUM(K56:L56)&lt;0,0,I56-SUM(K56:L56)))</f>
        <v>4513.4938739316767</v>
      </c>
      <c r="K56" s="160">
        <f ca="1">IF(G56="Всього:",SUM($K$5:K55),IF(F56&lt;&gt;F55,(F56*O55/36000*(G56-CONCATENATE(DAY($C$4),".",MONTH(G55),".",YEAR(G55)))+(F55*O55/36000*(CONCATENATE(DAY($C$4),".",MONTH(G55),".",YEAR(G55))-G55))),F56*O55/36000*(G56-G55)))</f>
        <v>-709.49387393167638</v>
      </c>
      <c r="L56" s="160">
        <f ca="1">IF(G56="Всього:",SUM($L$5:L55),$E$4)</f>
        <v>0</v>
      </c>
      <c r="M56" s="160">
        <f ca="1">IF(G56="Всього:",SUM($M$5:M55),IF($E$5="UAH",J56+L56+K56,J56+K56))</f>
        <v>3804.0000000000005</v>
      </c>
      <c r="N56" s="160" t="str">
        <f ca="1">IF(G56="Всього:",SUM($N$4:N55),IF($E$5="UAH","",L56))</f>
        <v/>
      </c>
      <c r="O56" s="160">
        <f t="shared" ca="1" si="0"/>
        <v>-93107.942231685214</v>
      </c>
    </row>
    <row r="57" spans="6:15" x14ac:dyDescent="0.25">
      <c r="F57" s="160">
        <f t="shared" ca="1" si="1"/>
        <v>9.3000000000000007</v>
      </c>
      <c r="G57" s="160">
        <f t="shared" ca="1" si="3"/>
        <v>47727</v>
      </c>
      <c r="H57" s="160">
        <f t="shared" ca="1" si="2"/>
        <v>53</v>
      </c>
      <c r="I57" s="160">
        <f ca="1">IF($G57="Всього:",SUM($I$4:I56),IF(AND(DAY($C$4)&gt;=15,H57=1),K57+L57,$C$32))</f>
        <v>3804</v>
      </c>
      <c r="J57" s="160">
        <f ca="1">IF($G57="Всього:",SUM($J$4:J56),IF(I57-SUM(K57:L57)&lt;0,0,I57-SUM(K57:L57)))</f>
        <v>4549.6394373720796</v>
      </c>
      <c r="K57" s="160">
        <f ca="1">IF(G57="Всього:",SUM($K$5:K56),IF(F57&lt;&gt;F56,(F57*O56/36000*(G57-CONCATENATE(DAY($C$4),".",MONTH(G56),".",YEAR(G56)))+(F56*O56/36000*(CONCATENATE(DAY($C$4),".",MONTH(G56),".",YEAR(G56))-G56))),F57*O56/36000*(G57-G56)))</f>
        <v>-745.6394373720791</v>
      </c>
      <c r="L57" s="160">
        <f ca="1">IF(G57="Всього:",SUM($L$5:L56),$E$4)</f>
        <v>0</v>
      </c>
      <c r="M57" s="160">
        <f ca="1">IF(G57="Всього:",SUM($M$5:M56),IF($E$5="UAH",J57+L57+K57,J57+K57))</f>
        <v>3804.0000000000005</v>
      </c>
      <c r="N57" s="160" t="str">
        <f ca="1">IF(G57="Всього:",SUM($N$4:N56),IF($E$5="UAH","",L57))</f>
        <v/>
      </c>
      <c r="O57" s="160">
        <f t="shared" ca="1" si="0"/>
        <v>-97657.581669057297</v>
      </c>
    </row>
    <row r="58" spans="6:15" x14ac:dyDescent="0.25">
      <c r="F58" s="160">
        <f t="shared" ca="1" si="1"/>
        <v>9.3000000000000007</v>
      </c>
      <c r="G58" s="160">
        <f t="shared" ca="1" si="3"/>
        <v>47757</v>
      </c>
      <c r="H58" s="160">
        <f t="shared" ca="1" si="2"/>
        <v>54</v>
      </c>
      <c r="I58" s="160">
        <f ca="1">IF($G58="Всього:",SUM($I$4:I57),IF(AND(DAY($C$4)&gt;=15,H58=1),K58+L58,$C$32))</f>
        <v>3804</v>
      </c>
      <c r="J58" s="160">
        <f ca="1">IF($G58="Всього:",SUM($J$4:J57),IF(I58-SUM(K58:L58)&lt;0,0,I58-SUM(K58:L58)))</f>
        <v>4560.8462579351944</v>
      </c>
      <c r="K58" s="160">
        <f ca="1">IF(G58="Всього:",SUM($K$5:K57),IF(F58&lt;&gt;F57,(F58*O57/36000*(G58-CONCATENATE(DAY($C$4),".",MONTH(G57),".",YEAR(G57)))+(F57*O57/36000*(CONCATENATE(DAY($C$4),".",MONTH(G57),".",YEAR(G57))-G57))),F58*O57/36000*(G58-G57)))</f>
        <v>-756.8462579351941</v>
      </c>
      <c r="L58" s="160">
        <f ca="1">IF(G58="Всього:",SUM($L$5:L57),$E$4)</f>
        <v>0</v>
      </c>
      <c r="M58" s="160">
        <f ca="1">IF(G58="Всього:",SUM($M$5:M57),IF($E$5="UAH",J58+L58+K58,J58+K58))</f>
        <v>3804.0000000000005</v>
      </c>
      <c r="N58" s="160" t="str">
        <f ca="1">IF(G58="Всього:",SUM($N$4:N57),IF($E$5="UAH","",L58))</f>
        <v/>
      </c>
      <c r="O58" s="160">
        <f t="shared" ca="1" si="0"/>
        <v>-102218.42792699249</v>
      </c>
    </row>
    <row r="59" spans="6:15" x14ac:dyDescent="0.25">
      <c r="F59" s="160">
        <f t="shared" ca="1" si="1"/>
        <v>9.3000000000000007</v>
      </c>
      <c r="G59" s="160">
        <f t="shared" ca="1" si="3"/>
        <v>47788</v>
      </c>
      <c r="H59" s="160">
        <f t="shared" ca="1" si="2"/>
        <v>55</v>
      </c>
      <c r="I59" s="160">
        <f ca="1">IF($G59="Всього:",SUM($I$4:I58),IF(AND(DAY($C$4)&gt;=15,H59=1),K59+L59,$C$32))</f>
        <v>3804</v>
      </c>
      <c r="J59" s="160">
        <f ca="1">IF($G59="Всього:",SUM($J$4:J58),IF(I59-SUM(K59:L59)&lt;0,0,I59-SUM(K59:L59)))</f>
        <v>4622.5992436486649</v>
      </c>
      <c r="K59" s="160">
        <f ca="1">IF(G59="Всього:",SUM($K$5:K58),IF(F59&lt;&gt;F58,(F59*O58/36000*(G59-CONCATENATE(DAY($C$4),".",MONTH(G58),".",YEAR(G58)))+(F58*O58/36000*(CONCATENATE(DAY($C$4),".",MONTH(G58),".",YEAR(G58))-G58))),F59*O58/36000*(G59-G58)))</f>
        <v>-818.59924364866492</v>
      </c>
      <c r="L59" s="160">
        <f ca="1">IF(G59="Всього:",SUM($L$5:L58),$E$4)</f>
        <v>0</v>
      </c>
      <c r="M59" s="160">
        <f ca="1">IF(G59="Всього:",SUM($M$5:M58),IF($E$5="UAH",J59+L59+K59,J59+K59))</f>
        <v>3804</v>
      </c>
      <c r="N59" s="160" t="str">
        <f ca="1">IF(G59="Всього:",SUM($N$4:N58),IF($E$5="UAH","",L59))</f>
        <v/>
      </c>
      <c r="O59" s="160">
        <f t="shared" ca="1" si="0"/>
        <v>-106841.02717064116</v>
      </c>
    </row>
    <row r="60" spans="6:15" x14ac:dyDescent="0.25">
      <c r="F60" s="160">
        <f t="shared" ca="1" si="1"/>
        <v>9.3000000000000007</v>
      </c>
      <c r="G60" s="160">
        <f t="shared" ca="1" si="3"/>
        <v>47818</v>
      </c>
      <c r="H60" s="160">
        <f t="shared" ca="1" si="2"/>
        <v>56</v>
      </c>
      <c r="I60" s="160">
        <f ca="1">IF($G60="Всього:",SUM($I$4:I59),IF(AND(DAY($C$4)&gt;=15,H60=1),K60+L60,$C$32))</f>
        <v>3804</v>
      </c>
      <c r="J60" s="160">
        <f ca="1">IF($G60="Всього:",SUM($J$4:J59),IF(I60-SUM(K60:L60)&lt;0,0,I60-SUM(K60:L60)))</f>
        <v>4632.0179605724688</v>
      </c>
      <c r="K60" s="160">
        <f ca="1">IF(G60="Всього:",SUM($K$5:K59),IF(F60&lt;&gt;F59,(F60*O59/36000*(G60-CONCATENATE(DAY($C$4),".",MONTH(G59),".",YEAR(G59)))+(F59*O59/36000*(CONCATENATE(DAY($C$4),".",MONTH(G59),".",YEAR(G59))-G59))),F60*O59/36000*(G60-G59)))</f>
        <v>-828.01796057246906</v>
      </c>
      <c r="L60" s="160">
        <f ca="1">IF(G60="Всього:",SUM($L$5:L59),$E$4)</f>
        <v>0</v>
      </c>
      <c r="M60" s="160">
        <f ca="1">IF(G60="Всього:",SUM($M$5:M59),IF($E$5="UAH",J60+L60+K60,J60+K60))</f>
        <v>3804</v>
      </c>
      <c r="N60" s="160" t="str">
        <f ca="1">IF(G60="Всього:",SUM($N$4:N59),IF($E$5="UAH","",L60))</f>
        <v/>
      </c>
      <c r="O60" s="160">
        <f t="shared" ca="1" si="0"/>
        <v>-111473.04513121363</v>
      </c>
    </row>
    <row r="61" spans="6:15" x14ac:dyDescent="0.25">
      <c r="F61" s="160">
        <f t="shared" ca="1" si="1"/>
        <v>9.3000000000000007</v>
      </c>
      <c r="G61" s="160">
        <f t="shared" ca="1" si="3"/>
        <v>47849</v>
      </c>
      <c r="H61" s="160">
        <f t="shared" ca="1" si="2"/>
        <v>57</v>
      </c>
      <c r="I61" s="160">
        <f ca="1">IF($G61="Всього:",SUM($I$4:I60),IF(AND(DAY($C$4)&gt;=15,H61=1),K61+L61,$C$32))</f>
        <v>3804</v>
      </c>
      <c r="J61" s="160">
        <f ca="1">IF($G61="Всього:",SUM($J$4:J60),IF(I61-SUM(K61:L61)&lt;0,0,I61-SUM(K61:L61)))</f>
        <v>4696.7133030924697</v>
      </c>
      <c r="K61" s="160">
        <f ca="1">IF(G61="Всього:",SUM($K$5:K60),IF(F61&lt;&gt;F60,(F61*O60/36000*(G61-CONCATENATE(DAY($C$4),".",MONTH(G60),".",YEAR(G60)))+(F60*O60/36000*(CONCATENATE(DAY($C$4),".",MONTH(G60),".",YEAR(G60))-G60))),F61*O60/36000*(G61-G60)))</f>
        <v>-892.71330309246935</v>
      </c>
      <c r="L61" s="160">
        <f ca="1">IF(G61="Всього:",SUM($L$5:L60),$E$4)</f>
        <v>0</v>
      </c>
      <c r="M61" s="160">
        <f ca="1">IF(G61="Всього:",SUM($M$5:M60),IF($E$5="UAH",J61+L61+K61,J61+K61))</f>
        <v>3804.0000000000005</v>
      </c>
      <c r="N61" s="160" t="str">
        <f ca="1">IF(G61="Всього:",SUM($N$4:N60),IF($E$5="UAH","",L61))</f>
        <v/>
      </c>
      <c r="O61" s="160">
        <f t="shared" ca="1" si="0"/>
        <v>-116169.7584343061</v>
      </c>
    </row>
    <row r="62" spans="6:15" x14ac:dyDescent="0.25">
      <c r="F62" s="160">
        <f t="shared" ca="1" si="1"/>
        <v>9.3000000000000007</v>
      </c>
      <c r="G62" s="160">
        <f t="shared" ca="1" si="3"/>
        <v>47880</v>
      </c>
      <c r="H62" s="160">
        <f t="shared" ca="1" si="2"/>
        <v>58</v>
      </c>
      <c r="I62" s="160">
        <f ca="1">IF($G62="Всього:",SUM($I$4:I61),IF(AND(DAY($C$4)&gt;=15,H62=1),K62+L62,$C$32))</f>
        <v>3804</v>
      </c>
      <c r="J62" s="160">
        <f ca="1">IF($G62="Всього:",SUM($J$4:J61),IF(I62-SUM(K62:L62)&lt;0,0,I62-SUM(K62:L62)))</f>
        <v>4734.3261487947348</v>
      </c>
      <c r="K62" s="160">
        <f ca="1">IF(G62="Всього:",SUM($K$5:K61),IF(F62&lt;&gt;F61,(F62*O61/36000*(G62-CONCATENATE(DAY($C$4),".",MONTH(G61),".",YEAR(G61)))+(F61*O61/36000*(CONCATENATE(DAY($C$4),".",MONTH(G61),".",YEAR(G61))-G61))),F62*O61/36000*(G62-G61)))</f>
        <v>-930.32614879473476</v>
      </c>
      <c r="L62" s="160">
        <f ca="1">IF(G62="Всього:",SUM($L$5:L61),$E$4)</f>
        <v>0</v>
      </c>
      <c r="M62" s="160">
        <f ca="1">IF(G62="Всього:",SUM($M$5:M61),IF($E$5="UAH",J62+L62+K62,J62+K62))</f>
        <v>3804</v>
      </c>
      <c r="N62" s="160" t="str">
        <f ca="1">IF(G62="Всього:",SUM($N$4:N61),IF($E$5="UAH","",L62))</f>
        <v/>
      </c>
      <c r="O62" s="160">
        <f t="shared" ca="1" si="0"/>
        <v>-120904.08458310083</v>
      </c>
    </row>
    <row r="63" spans="6:15" x14ac:dyDescent="0.25">
      <c r="F63" s="160">
        <f t="shared" ca="1" si="1"/>
        <v>9.3000000000000007</v>
      </c>
      <c r="G63" s="160">
        <f t="shared" ca="1" si="3"/>
        <v>47908</v>
      </c>
      <c r="H63" s="160">
        <f t="shared" ca="1" si="2"/>
        <v>59</v>
      </c>
      <c r="I63" s="160">
        <f ca="1">IF($G63="Всього:",SUM($I$4:I62),IF(AND(DAY($C$4)&gt;=15,H63=1),K63+L63,$C$32))</f>
        <v>3804</v>
      </c>
      <c r="J63" s="160">
        <f ca="1">IF($G63="Всього:",SUM($J$4:J62),IF(I63-SUM(K63:L63)&lt;0,0,I63-SUM(K63:L63)))</f>
        <v>4678.5395451510958</v>
      </c>
      <c r="K63" s="160">
        <f ca="1">IF(G63="Всього:",SUM($K$5:K62),IF(F63&lt;&gt;F62,(F63*O62/36000*(G63-CONCATENATE(DAY($C$4),".",MONTH(G62),".",YEAR(G62)))+(F62*O62/36000*(CONCATENATE(DAY($C$4),".",MONTH(G62),".",YEAR(G62))-G62))),F63*O62/36000*(G63-G62)))</f>
        <v>-874.53954515109604</v>
      </c>
      <c r="L63" s="160">
        <f ca="1">IF(G63="Всього:",SUM($L$5:L62),$E$4)</f>
        <v>0</v>
      </c>
      <c r="M63" s="160">
        <f ca="1">IF(G63="Всього:",SUM($M$5:M62),IF($E$5="UAH",J63+L63+K63,J63+K63))</f>
        <v>3804</v>
      </c>
      <c r="N63" s="160" t="str">
        <f ca="1">IF(G63="Всього:",SUM($N$4:N62),IF($E$5="UAH","",L63))</f>
        <v/>
      </c>
      <c r="O63" s="160">
        <f t="shared" ca="1" si="0"/>
        <v>-125582.62412825193</v>
      </c>
    </row>
    <row r="64" spans="6:15" x14ac:dyDescent="0.25">
      <c r="F64" s="160">
        <f t="shared" ca="1" si="1"/>
        <v>9.3000000000000007</v>
      </c>
      <c r="G64" s="160">
        <f t="shared" ca="1" si="3"/>
        <v>47939</v>
      </c>
      <c r="H64" s="160">
        <f t="shared" ca="1" si="2"/>
        <v>60</v>
      </c>
      <c r="I64" s="160">
        <f ca="1">IF($G64="Всього:",SUM($I$4:I63),IF(AND(DAY($C$4)&gt;=15,H64=1),K64+L64,$C$32))</f>
        <v>3804</v>
      </c>
      <c r="J64" s="160">
        <f ca="1">IF($G64="Всього:",SUM($J$4:J63),IF(I64-SUM(K64:L64)&lt;0,0,I64-SUM(K64:L64)))</f>
        <v>4809.7075148937511</v>
      </c>
      <c r="K64" s="160">
        <f ca="1">IF(G64="Всього:",SUM($K$5:K63),IF(F64&lt;&gt;F63,(F64*O63/36000*(G64-CONCATENATE(DAY($C$4),".",MONTH(G63),".",YEAR(G63)))+(F63*O63/36000*(CONCATENATE(DAY($C$4),".",MONTH(G63),".",YEAR(G63))-G63))),F64*O63/36000*(G64-G63)))</f>
        <v>-1005.707514893751</v>
      </c>
      <c r="L64" s="160">
        <f ca="1">IF(G64="Всього:",SUM($L$5:L63),$E$4)</f>
        <v>0</v>
      </c>
      <c r="M64" s="160">
        <f ca="1">IF(G64="Всього:",SUM($M$5:M63),IF($E$5="UAH",J64+L64+K64,J64+K64))</f>
        <v>3804</v>
      </c>
      <c r="N64" s="160" t="str">
        <f ca="1">IF(G64="Всього:",SUM($N$4:N63),IF($E$5="UAH","",L64))</f>
        <v/>
      </c>
      <c r="O64" s="160">
        <f t="shared" ca="1" si="0"/>
        <v>-130392.33164314568</v>
      </c>
    </row>
    <row r="65" spans="6:15" x14ac:dyDescent="0.25">
      <c r="F65" s="160">
        <f t="shared" ca="1" si="1"/>
        <v>9.3000000000000007</v>
      </c>
      <c r="G65" s="160">
        <f t="shared" ca="1" si="3"/>
        <v>47943</v>
      </c>
      <c r="H65" s="160">
        <f t="shared" ca="1" si="2"/>
        <v>61</v>
      </c>
      <c r="I65" s="160">
        <f ca="1">IF($G65="Всього:",SUM($I$4:I64),IF(AND(DAY($C$4)&gt;=15,H65=1),K65+L65,$C$32))</f>
        <v>3804</v>
      </c>
      <c r="J65" s="160">
        <f ca="1">IF($G65="Всього:",SUM($J$4:J64),IF(I65-SUM(K65:L65)&lt;0,0,I65-SUM(K65:L65)))</f>
        <v>3938.7387426979171</v>
      </c>
      <c r="K65" s="160">
        <f ca="1">IF(G65="Всього:",SUM($K$5:K64),IF(F65&lt;&gt;F64,(F65*O64/36000*(G65-CONCATENATE(DAY($C$4),".",MONTH(G64),".",YEAR(G64)))+(F64*O64/36000*(CONCATENATE(DAY($C$4),".",MONTH(G64),".",YEAR(G64))-G64))),F65*O64/36000*(G65-G64)))</f>
        <v>-134.73874269791722</v>
      </c>
      <c r="L65" s="160">
        <f ca="1">IF(G65="Всього:",SUM($L$5:L64),$E$4)</f>
        <v>0</v>
      </c>
      <c r="M65" s="160">
        <f ca="1">IF(G65="Всього:",SUM($M$5:M64),IF($E$5="UAH",J65+L65+K65,J65+K65))</f>
        <v>3804</v>
      </c>
      <c r="N65" s="160" t="str">
        <f ca="1">IF(G65="Всього:",SUM($N$4:N64),IF($E$5="UAH","",L65))</f>
        <v/>
      </c>
      <c r="O65" s="160">
        <f t="shared" ca="1" si="0"/>
        <v>-134331.0703858436</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234331.0703858436</v>
      </c>
      <c r="K66" s="160">
        <f ca="1">IF(G66="Всього:",SUM($K$5:K65),IF(F66&lt;&gt;F65,(F66*O65/36000*(G66-CONCATENATE(DAY($C$4),".",MONTH(G65),".",YEAR(G65)))+(F65*O65/36000*(CONCATENATE(DAY($C$4),".",MONTH(G65),".",YEAR(G65))-G65))),F66*O65/36000*(G66-G65)))</f>
        <v>-2287.0703858436141</v>
      </c>
      <c r="L66" s="160">
        <f ca="1">IF(G66="Всього:",SUM($L$5:L65),$E$4)</f>
        <v>0</v>
      </c>
      <c r="M66" s="160">
        <f ca="1">IF(G66="Всього:",SUM($M$5:M65),IF($E$5="UAH",J66+L66+K66,J66+K66))</f>
        <v>232044</v>
      </c>
      <c r="N66" s="160">
        <f ca="1">IF(G66="Всього:",SUM($N$4:N65),IF($E$5="UAH","",L66))</f>
        <v>0</v>
      </c>
      <c r="O66" s="160">
        <f t="shared" ca="1" si="0"/>
        <v>-368662.14077168721</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2" priority="1" operator="containsText" text="Поручитель неплатоспроможний">
      <formula>NOT(ISERROR(SEARCH("Поручитель неплатоспроможний",C112)))</formula>
    </cfRule>
    <cfRule type="containsText" dxfId="61" priority="2" operator="containsText" text="Поручитель платоспроможний">
      <formula>NOT(ISERROR(SEARCH("Поручитель платоспроможний",C112)))</formula>
    </cfRule>
  </conditionalFormatting>
  <conditionalFormatting sqref="D1">
    <cfRule type="expression" dxfId="60"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5703125" style="11" customWidth="1"/>
    <col min="7" max="7" width="17.5703125" style="11" customWidth="1"/>
    <col min="8" max="8" width="8" style="30" customWidth="1"/>
    <col min="9" max="9" width="15.42578125" style="11" customWidth="1"/>
    <col min="10" max="10" width="19.5703125" style="11" customWidth="1"/>
    <col min="11" max="11" width="15.42578125" style="11" customWidth="1"/>
    <col min="12" max="12" width="12.5703125" style="11" customWidth="1"/>
    <col min="13" max="13" width="12.425781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425781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171</v>
      </c>
      <c r="B1" s="4">
        <f>((E1*POWER(1+(E2/12),E3)*(E2/12)))/(POWER(1+(E2/12),E3)-1)</f>
        <v>620000.00066259899</v>
      </c>
      <c r="C1" s="5">
        <f>PMT(E2/12,E3,-E1)</f>
        <v>620000.00066259911</v>
      </c>
      <c r="D1" s="6" t="s">
        <v>172</v>
      </c>
      <c r="E1" s="7">
        <f>'Калькулятор '!N2</f>
        <v>800000</v>
      </c>
      <c r="G1" s="9"/>
      <c r="H1" s="150" t="s">
        <v>173</v>
      </c>
      <c r="I1" s="150"/>
      <c r="J1" s="10">
        <f ca="1">TODAY()</f>
        <v>46118</v>
      </c>
      <c r="O1" s="35" t="s">
        <v>208</v>
      </c>
    </row>
    <row r="2" spans="1:29" s="8" customFormat="1" ht="16.5" customHeight="1" x14ac:dyDescent="0.2">
      <c r="A2" s="12" t="s">
        <v>175</v>
      </c>
      <c r="B2" s="4">
        <f>E1*(E2/12)</f>
        <v>620000</v>
      </c>
      <c r="C2" s="5">
        <f>IPMT(E2/12,1,E3,-(E1))</f>
        <v>620000</v>
      </c>
      <c r="D2" s="6" t="s">
        <v>176</v>
      </c>
      <c r="E2" s="49">
        <f>'Калькулятор '!E14</f>
        <v>9.3000000000000007</v>
      </c>
      <c r="F2" s="13" t="s">
        <v>177</v>
      </c>
      <c r="G2" s="152" t="s">
        <v>178</v>
      </c>
      <c r="H2" s="155" t="s">
        <v>179</v>
      </c>
      <c r="I2" s="156"/>
      <c r="J2" s="156"/>
      <c r="K2" s="156"/>
      <c r="L2" s="156"/>
      <c r="M2" s="156"/>
      <c r="N2" s="156"/>
      <c r="O2" s="157"/>
      <c r="S2" s="8">
        <v>12</v>
      </c>
      <c r="W2" s="12" t="s">
        <v>209</v>
      </c>
      <c r="X2" s="12"/>
      <c r="Y2" s="26">
        <f ca="1">IF(E3=S2,J17,IF(E3=S3,J29,IF(E3=S4,J41,IF(E3=S5,J53,0))))+Y3+IF(E3=S6,J65,IF(E3=S7,J77,IF(E3=S8,J89,0)))</f>
        <v>3758832.8626739467</v>
      </c>
      <c r="AA2" s="29"/>
      <c r="AB2" s="29">
        <f ca="1">R3+Y7+Y6+Y4</f>
        <v>2670632.2480763271</v>
      </c>
      <c r="AC2" s="29">
        <f ca="1">IF(E3=S2,AVERAGE(O4:O15),IF(E3=S3,AVERAGE(O4:O27),IF(E3=S4,AVERAGE(O4:O39),IF(E3=S5,AVERAGE(O4:O51),IF(E3=S6,AVERAGE(O4:O63),0)))))</f>
        <v>288042.86987164861</v>
      </c>
    </row>
    <row r="3" spans="1:29" s="8" customFormat="1" ht="38.25" customHeight="1" x14ac:dyDescent="0.2">
      <c r="A3" s="12" t="s">
        <v>180</v>
      </c>
      <c r="B3" s="4">
        <f>B1-B2</f>
        <v>6.62598991766572E-4</v>
      </c>
      <c r="C3" s="5">
        <f>PPMT(E2/12,1,E3,-E1)</f>
        <v>6.6259907289259381E-4</v>
      </c>
      <c r="D3" s="6" t="s">
        <v>181</v>
      </c>
      <c r="E3" s="14">
        <f>'Калькулятор '!E12</f>
        <v>36</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145308</v>
      </c>
      <c r="S3" s="8">
        <v>24</v>
      </c>
      <c r="W3" s="12" t="s">
        <v>210</v>
      </c>
      <c r="X3" s="12"/>
      <c r="Y3" s="26">
        <f ca="1">SUM(Y4:Y8)+Y12-Y7+R3</f>
        <v>2652365.5814096606</v>
      </c>
      <c r="AA3" s="29"/>
      <c r="AB3" s="8" t="e">
        <f ca="1">IF('Калькулятор '!V23&lt;20,1,IF(AC3=Y10,0,1))</f>
        <v>#NUM!</v>
      </c>
      <c r="AC3" s="40">
        <v>0.38880982995033264</v>
      </c>
    </row>
    <row r="4" spans="1:29" s="8" customFormat="1" ht="13.5" customHeight="1" x14ac:dyDescent="0.2">
      <c r="A4" s="12" t="s">
        <v>189</v>
      </c>
      <c r="B4" s="12"/>
      <c r="C4" s="33">
        <f ca="1">TODAY()</f>
        <v>46118</v>
      </c>
      <c r="D4" s="6" t="s">
        <v>190</v>
      </c>
      <c r="E4" s="12">
        <f>'Платоспроможність боржника'!H4/100*E1</f>
        <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f>E1</f>
        <v>800000</v>
      </c>
      <c r="P4" s="33">
        <f ca="1">C4</f>
        <v>46118</v>
      </c>
      <c r="Q4" s="8">
        <f>IFERROR(-E1+(Y6+Y7+Y5+Y8+Y12),"")</f>
        <v>1676933.3333333335</v>
      </c>
      <c r="S4" s="8">
        <v>36</v>
      </c>
      <c r="W4" s="12" t="s">
        <v>211</v>
      </c>
      <c r="X4" s="12"/>
      <c r="Y4" s="26">
        <f ca="1">IF(E3=S2,K17,IF(E3=S3,K29,IF(E3=S4,K41,IF(E3=S5,K53,0))))+IF(E3=S6,K65,IF(E3=S7,K77,IF(E3=S8,K89,0)))</f>
        <v>81724.248076327291</v>
      </c>
      <c r="AA4" s="29"/>
      <c r="AC4" s="40"/>
    </row>
    <row r="5" spans="1:29" s="8" customFormat="1" ht="12.75" x14ac:dyDescent="0.2">
      <c r="A5" s="22" t="s">
        <v>193</v>
      </c>
      <c r="B5" s="12">
        <v>1</v>
      </c>
      <c r="C5" s="12">
        <v>1</v>
      </c>
      <c r="D5" s="6" t="s">
        <v>194</v>
      </c>
      <c r="E5" s="12" t="s">
        <v>195</v>
      </c>
      <c r="F5" s="34">
        <f ca="1">IF(G5="Всього:","",IF(AND(G5&gt;$B$9,G5&lt;=$B$10),$C$16,IF(AND(G5&gt;$B$9,G5&lt;=$B$11),$D$16,IF(AND(G5&gt;$B$10,G5&lt;=$B$14),$E$16,$B$16))))</f>
        <v>9.3000000000000007</v>
      </c>
      <c r="G5" s="23">
        <f ca="1">IF(AND(DAY(C4)&lt;=15,$B$7&gt;DAY(C4)),DATE(YEAR(C4),MONTH(C4),IF($B$7&lt;&gt;"",DAY(IF($B$7&gt;DAY(EOMONTH(C4,0)),EOMONTH(C4,0),$B$7)),DAY(1))),DATE(YEAR(C4),MONTH(C4)+1,IF($B$7&lt;&gt;"",DAY(IF($B$7&gt;DAY(EOMONTH(C4,1)),EOMONTH(C4,1),$B$7)),DAY(1))))</f>
        <v>46148</v>
      </c>
      <c r="H5" s="24">
        <f>IF(H4&gt;$E$8,"",H4+1)</f>
        <v>1</v>
      </c>
      <c r="I5" s="25">
        <f ca="1">IF($G5="Всього:",SUM($I$4:I4),MAX($C$32,K5))</f>
        <v>33005</v>
      </c>
      <c r="J5" s="25">
        <f ca="1">IF($G5="Всього:",SUM($J$4:J4),IF(I5-SUM(K5:L5)&lt;0,0,I5-SUM(K5:L5)))</f>
        <v>26805</v>
      </c>
      <c r="K5" s="25">
        <f ca="1">$E$1*F5*(G5-$C$4)/36000</f>
        <v>6200.0000000000009</v>
      </c>
      <c r="L5" s="25">
        <f>$E$4</f>
        <v>0</v>
      </c>
      <c r="M5" s="26">
        <f ca="1">IF($E$5="UAH",J5+L5+K5,J5+K5)</f>
        <v>33005</v>
      </c>
      <c r="N5" s="27" t="str">
        <f>IF($E$5="UAH","",L5)</f>
        <v/>
      </c>
      <c r="O5" s="28">
        <f t="shared" ref="O5:O68" ca="1" si="0">O4-J5</f>
        <v>773195</v>
      </c>
      <c r="P5" s="33">
        <f t="shared" ref="P5:P68" ca="1" si="1">G5</f>
        <v>46148</v>
      </c>
      <c r="Q5" s="8">
        <f ca="1">IF(R5="",I5,IFERROR(I5+R5,0))</f>
        <v>33005</v>
      </c>
      <c r="S5" s="8">
        <v>48</v>
      </c>
      <c r="W5" s="12" t="s">
        <v>212</v>
      </c>
      <c r="X5" s="12"/>
      <c r="Y5" s="12">
        <f>Калькулятор!N40</f>
        <v>0</v>
      </c>
    </row>
    <row r="6" spans="1:29" s="8" customFormat="1" ht="12.75" x14ac:dyDescent="0.2">
      <c r="A6" s="12" t="s">
        <v>196</v>
      </c>
      <c r="B6" s="12"/>
      <c r="C6" s="26">
        <f>IF(E5="EUR",C1*E7,IF(E5="USD",C1*E6,C1))</f>
        <v>620000.00066259911</v>
      </c>
      <c r="D6" s="6"/>
      <c r="E6" s="12"/>
      <c r="F6" s="34">
        <f t="shared" ref="F6:F69" ca="1" si="2">IF(G6="Всього:","",IF(AND(G6&gt;$B$9,G6&lt;=$B$10),$C$16,IF(AND(G6&gt;$B$9,G6&lt;=$B$11),$D$16,IF(AND(G6&gt;$B$10,G6&lt;=$B$14),$E$16,$B$16))))</f>
        <v>9.3000000000000007</v>
      </c>
      <c r="G6" s="23">
        <f ca="1">IF(H5=$E$3,"Всього:",IF($E$3=H6,$B$14,DATE(YEAR(G5),MONTH(G5)+1,IF($B$7&lt;&gt;"",DAY(IF($B$7&gt;DAY(EOMONTH(G5,1)),EOMONTH(G5,1),$B$7)),DAY(1)))))</f>
        <v>46179</v>
      </c>
      <c r="H6" s="24">
        <f t="shared" ref="H6:H69" si="3">IF(H5&gt;$E$8,"",H5+1)</f>
        <v>2</v>
      </c>
      <c r="I6" s="25">
        <f ca="1">IF($G6="Всього:",SUM($I$4:I5),MAX($C$32,K6))</f>
        <v>33005</v>
      </c>
      <c r="J6" s="25">
        <f ca="1">IF($G6="Всього:",SUM($J$4:J5),IF(I6-SUM(K6:L6)&lt;0,0,I6-SUM(K6:L6)))</f>
        <v>26812.996708333332</v>
      </c>
      <c r="K6" s="25">
        <f ca="1">IF(G6="Всього:",SUM($K$5:K5),F6*O5/36000*(G6-G5))</f>
        <v>6192.0032916666678</v>
      </c>
      <c r="L6" s="25">
        <f ca="1">IF(G6="Всього:",SUM($L$5:L5),$E$4)</f>
        <v>0</v>
      </c>
      <c r="M6" s="25">
        <f ca="1">IF(G6="Всього:",SUM($M$5:M5),IF($E$5="UAH",J6+L6+K6,J6+K6))</f>
        <v>33005</v>
      </c>
      <c r="N6" s="27" t="str">
        <f ca="1">IF(G6="Всього:",SUM($N$4:N5),IF($E$5="UAH","",L6))</f>
        <v/>
      </c>
      <c r="O6" s="25">
        <f t="shared" ca="1" si="0"/>
        <v>746382.00329166662</v>
      </c>
      <c r="P6" s="33">
        <f t="shared" ca="1" si="1"/>
        <v>46179</v>
      </c>
      <c r="Q6" s="8">
        <f t="shared" ref="Q6:Q69" ca="1" si="4">IF(R7="",I6,IFERROR(I6+R7,0))</f>
        <v>33005</v>
      </c>
      <c r="S6" s="8">
        <v>60</v>
      </c>
      <c r="W6" s="12" t="s">
        <v>213</v>
      </c>
      <c r="X6" s="12"/>
      <c r="Y6" s="12">
        <f>Z6*E1</f>
        <v>2392000</v>
      </c>
      <c r="Z6" s="60">
        <f>Калькулятор!G9</f>
        <v>2.99</v>
      </c>
      <c r="AA6" s="12"/>
    </row>
    <row r="7" spans="1:29" s="8" customFormat="1" ht="12.75" x14ac:dyDescent="0.2">
      <c r="A7" s="12" t="s">
        <v>197</v>
      </c>
      <c r="B7" s="12">
        <f ca="1">DAY(C4)</f>
        <v>6</v>
      </c>
      <c r="C7" s="12"/>
      <c r="D7" s="6"/>
      <c r="E7" s="12"/>
      <c r="F7" s="34">
        <f t="shared" ca="1" si="2"/>
        <v>9.3000000000000007</v>
      </c>
      <c r="G7" s="23">
        <f t="shared" ref="G7:G70" ca="1" si="5">IF(H6=$E$3,"Всього:",IF($E$3=H7,$B$14,DATE(YEAR(G6),MONTH(G6)+1,IF($B$7&lt;&gt;"",DAY(IF($B$7&gt;DAY(EOMONTH(G6,1)),EOMONTH(G6,1),$B$7)),DAY(1)))))</f>
        <v>46209</v>
      </c>
      <c r="H7" s="24">
        <f t="shared" si="3"/>
        <v>3</v>
      </c>
      <c r="I7" s="25">
        <f ca="1">IF($G7="Всього:",SUM($I$4:I6),MAX($C$32,K7))</f>
        <v>33005</v>
      </c>
      <c r="J7" s="25">
        <f ca="1">IF($G7="Всього:",SUM($J$4:J6),IF(I7-SUM(K7:L7)&lt;0,0,I7-SUM(K7:L7)))</f>
        <v>27220.539474489582</v>
      </c>
      <c r="K7" s="25">
        <f ca="1">IF(G7="Всього:",SUM($K$5:K6),F7*O6/36000*(G7-G6))</f>
        <v>5784.4605255104161</v>
      </c>
      <c r="L7" s="25">
        <f ca="1">IF(G7="Всього:",SUM($L$5:L6),$E$4)</f>
        <v>0</v>
      </c>
      <c r="M7" s="25">
        <f ca="1">IF(G7="Всього:",SUM($M$5:M6),IF($E$5="UAH",J7+L7+K7,J7+K7))</f>
        <v>33005</v>
      </c>
      <c r="N7" s="27" t="str">
        <f ca="1">IF(G7="Всього:",SUM($N$4:N6),IF($E$5="UAH","",L7))</f>
        <v/>
      </c>
      <c r="O7" s="25">
        <f t="shared" ca="1" si="0"/>
        <v>719161.46381717699</v>
      </c>
      <c r="P7" s="33">
        <f t="shared" ca="1" si="1"/>
        <v>46209</v>
      </c>
      <c r="Q7" s="8">
        <f t="shared" ca="1" si="4"/>
        <v>33005</v>
      </c>
      <c r="S7" s="8">
        <v>72</v>
      </c>
      <c r="W7" s="12" t="s">
        <v>214</v>
      </c>
      <c r="X7" s="12"/>
      <c r="Y7" s="12">
        <f>Z7*AA7</f>
        <v>51600</v>
      </c>
      <c r="Z7" s="60">
        <f>Калькулятор!G15</f>
        <v>5.16E-2</v>
      </c>
      <c r="AA7" s="26">
        <f>'Калькулятор '!E4</f>
        <v>1000000</v>
      </c>
    </row>
    <row r="8" spans="1:29" s="8" customFormat="1" ht="12.75" customHeight="1" x14ac:dyDescent="0.2">
      <c r="A8" s="12" t="s">
        <v>198</v>
      </c>
      <c r="B8" s="16">
        <f ca="1">C4</f>
        <v>46118</v>
      </c>
      <c r="D8" s="6" t="s">
        <v>199</v>
      </c>
      <c r="E8" s="8">
        <f>E3</f>
        <v>36</v>
      </c>
      <c r="F8" s="34">
        <f t="shared" ca="1" si="2"/>
        <v>9.3000000000000007</v>
      </c>
      <c r="G8" s="23">
        <f t="shared" ca="1" si="5"/>
        <v>46240</v>
      </c>
      <c r="H8" s="24">
        <f t="shared" si="3"/>
        <v>4</v>
      </c>
      <c r="I8" s="25">
        <f ca="1">IF($G8="Всього:",SUM($I$4:I7),MAX($C$32,K8))</f>
        <v>33005</v>
      </c>
      <c r="J8" s="25">
        <f ca="1">IF($G8="Всього:",SUM($J$4:J7),IF(I8-SUM(K8:L8)&lt;0,0,I8-SUM(K8:L8)))</f>
        <v>27245.715277264106</v>
      </c>
      <c r="K8" s="25">
        <f ca="1">IF(G8="Всього:",SUM($K$5:K7),F8*O7/36000*(G8-G7))</f>
        <v>5759.2847227358934</v>
      </c>
      <c r="L8" s="25">
        <f ca="1">IF(G8="Всього:",SUM($L$5:L7),$E$4)</f>
        <v>0</v>
      </c>
      <c r="M8" s="25">
        <f ca="1">IF(G8="Всього:",SUM($M$5:M7),IF($E$5="UAH",J8+L8+K8,J8+K8))</f>
        <v>33005</v>
      </c>
      <c r="N8" s="27" t="str">
        <f ca="1">IF(G8="Всього:",SUM($N$4:N7),IF($E$5="UAH","",L8))</f>
        <v/>
      </c>
      <c r="O8" s="25">
        <f t="shared" ca="1" si="0"/>
        <v>691915.74853991286</v>
      </c>
      <c r="P8" s="33">
        <f t="shared" ca="1" si="1"/>
        <v>46240</v>
      </c>
      <c r="Q8" s="8">
        <f t="shared" ca="1" si="4"/>
        <v>33005</v>
      </c>
      <c r="S8" s="8">
        <v>84</v>
      </c>
      <c r="W8" s="12" t="s">
        <v>215</v>
      </c>
      <c r="X8" s="12"/>
      <c r="Y8" s="12">
        <f>IF('Калькулятор '!E6="Ні",'Калькулятор (реал. ставка)'!C18,0)</f>
        <v>33333.333333333328</v>
      </c>
      <c r="Z8" s="12">
        <v>250</v>
      </c>
      <c r="AA8" s="12">
        <v>3028</v>
      </c>
    </row>
    <row r="9" spans="1:29" s="8" customFormat="1" ht="13.5" customHeight="1" x14ac:dyDescent="0.2">
      <c r="A9" s="12" t="s">
        <v>200</v>
      </c>
      <c r="B9" s="16">
        <f ca="1">IF('Платоспроможність боржника'!H7="",B14,EDATE($C$4,'Платоспроможність боржника'!$H$7))</f>
        <v>47213</v>
      </c>
      <c r="F9" s="34">
        <f t="shared" ca="1" si="2"/>
        <v>9.3000000000000007</v>
      </c>
      <c r="G9" s="23">
        <f t="shared" ca="1" si="5"/>
        <v>46271</v>
      </c>
      <c r="H9" s="24">
        <f t="shared" si="3"/>
        <v>5</v>
      </c>
      <c r="I9" s="25">
        <f ca="1">IF($G9="Всього:",SUM($I$4:I8),MAX($C$32,K9))</f>
        <v>33005</v>
      </c>
      <c r="J9" s="25">
        <f ca="1">IF($G9="Всього:",SUM($J$4:J8),IF(I9-SUM(K9:L9)&lt;0,0,I9-SUM(K9:L9)))</f>
        <v>27463.908047109529</v>
      </c>
      <c r="K9" s="25">
        <f ca="1">IF(G9="Всього:",SUM($K$5:K8),F9*O8/36000*(G9-G8))</f>
        <v>5541.0919528904687</v>
      </c>
      <c r="L9" s="25">
        <f ca="1">IF(G9="Всього:",SUM($L$5:L8),$E$4)</f>
        <v>0</v>
      </c>
      <c r="M9" s="25">
        <f ca="1">IF(G9="Всього:",SUM($M$5:M8),IF($E$5="UAH",J9+L9+K9,J9+K9))</f>
        <v>33005</v>
      </c>
      <c r="N9" s="27" t="str">
        <f ca="1">IF(G9="Всього:",SUM($N$4:N8),IF($E$5="UAH","",L9))</f>
        <v/>
      </c>
      <c r="O9" s="25">
        <f t="shared" ca="1" si="0"/>
        <v>664451.84049280337</v>
      </c>
      <c r="P9" s="33">
        <f t="shared" ca="1" si="1"/>
        <v>46271</v>
      </c>
      <c r="Q9" s="8">
        <f t="shared" ca="1" si="4"/>
        <v>33005</v>
      </c>
      <c r="W9" s="12" t="s">
        <v>216</v>
      </c>
      <c r="X9" s="12"/>
      <c r="Y9" s="12">
        <f>Калькулятор!N46</f>
        <v>33333.333333333328</v>
      </c>
    </row>
    <row r="10" spans="1:29" s="8" customFormat="1" ht="12.75" x14ac:dyDescent="0.2">
      <c r="A10" s="12" t="s">
        <v>201</v>
      </c>
      <c r="B10" s="16">
        <f ca="1">IF('Платоспроможність боржника'!I7="",B14,EDATE($C$4,'Платоспроможність боржника'!$H$7+'Платоспроможність боржника'!$I$7))</f>
        <v>47213</v>
      </c>
      <c r="F10" s="34">
        <f t="shared" ca="1" si="2"/>
        <v>9.3000000000000007</v>
      </c>
      <c r="G10" s="23">
        <f t="shared" ca="1" si="5"/>
        <v>46301</v>
      </c>
      <c r="H10" s="24">
        <f t="shared" si="3"/>
        <v>6</v>
      </c>
      <c r="I10" s="25">
        <f ca="1">IF($G10="Всього:",SUM($I$4:I9),MAX($C$32,K10))</f>
        <v>33005</v>
      </c>
      <c r="J10" s="25">
        <f ca="1">IF($G10="Всього:",SUM($J$4:J9),IF(I10-SUM(K10:L10)&lt;0,0,I10-SUM(K10:L10)))</f>
        <v>27855.498236180774</v>
      </c>
      <c r="K10" s="25">
        <f ca="1">IF(G10="Всього:",SUM($K$5:K9),F10*O9/36000*(G10-G9))</f>
        <v>5149.5017638192267</v>
      </c>
      <c r="L10" s="25">
        <f ca="1">IF(G10="Всього:",SUM($L$5:L9),$E$4)</f>
        <v>0</v>
      </c>
      <c r="M10" s="25">
        <f ca="1">IF(G10="Всього:",SUM($M$5:M9),IF($E$5="UAH",J10+L10+K10,J10+K10))</f>
        <v>33005</v>
      </c>
      <c r="N10" s="27" t="str">
        <f ca="1">IF(G10="Всього:",SUM($N$4:N9),IF($E$5="UAH","",L10))</f>
        <v/>
      </c>
      <c r="O10" s="25">
        <f t="shared" ca="1" si="0"/>
        <v>636596.34225662262</v>
      </c>
      <c r="P10" s="33">
        <f t="shared" ca="1" si="1"/>
        <v>46301</v>
      </c>
      <c r="Q10" s="8">
        <f t="shared" ca="1" si="4"/>
        <v>33005</v>
      </c>
      <c r="W10" s="12" t="s">
        <v>217</v>
      </c>
      <c r="X10" s="12"/>
      <c r="Y10" s="39" t="e">
        <f ca="1">IF(E3=S2,XIRR($Q$4:$Q$16,$P$4:$P$16),IF(E3=S3,XIRR($Q$4:$Q$28,$P$4:$P$28),IF(E3=S4,XIRR($Q$4:$Q$40,$P$4:$P$40),IF(E3=S5,XIRR($Q$4:$Q$52,$P$4:$P$52),IF(E3=S6,XIRR($Q$4:$Q$64,$P$4:$P$64),IF(E3=S7,XIRR($Q$4:$Q$76,$P$4:$P$76),IF(E3=S8,XIRR($Q$4:$Q$88,$P$4:$P$88))))))))</f>
        <v>#NUM!</v>
      </c>
    </row>
    <row r="11" spans="1:29" s="8" customFormat="1" ht="12.75" x14ac:dyDescent="0.2">
      <c r="A11" s="12" t="s">
        <v>202</v>
      </c>
      <c r="B11" s="16">
        <f ca="1">IF('Платоспроможність боржника'!J7="",B14,EDATE($C$4,'Платоспроможність боржника'!$H$7+'Платоспроможність боржника'!$I$7+'Платоспроможність боржника'!$J$7))</f>
        <v>47213</v>
      </c>
      <c r="F11" s="34">
        <f t="shared" ca="1" si="2"/>
        <v>9.3000000000000007</v>
      </c>
      <c r="G11" s="23">
        <f t="shared" ca="1" si="5"/>
        <v>46332</v>
      </c>
      <c r="H11" s="24">
        <f t="shared" si="3"/>
        <v>7</v>
      </c>
      <c r="I11" s="25">
        <f ca="1">IF($G11="Всього:",SUM($I$4:I10),MAX($C$32,K11))</f>
        <v>33005</v>
      </c>
      <c r="J11" s="25">
        <f ca="1">IF($G11="Всього:",SUM($J$4:J10),IF(I11-SUM(K11:L11)&lt;0,0,I11-SUM(K11:L11)))</f>
        <v>27906.924292428215</v>
      </c>
      <c r="K11" s="25">
        <f ca="1">IF(G11="Всього:",SUM($K$5:K10),F11*O10/36000*(G11-G10))</f>
        <v>5098.0757075717866</v>
      </c>
      <c r="L11" s="25">
        <f ca="1">IF(G11="Всього:",SUM($L$5:L10),$E$4)</f>
        <v>0</v>
      </c>
      <c r="M11" s="25">
        <f ca="1">IF(G11="Всього:",SUM($M$5:M10),IF($E$5="UAH",J11+L11+K11,J11+K11))</f>
        <v>33005</v>
      </c>
      <c r="N11" s="27" t="str">
        <f ca="1">IF(G11="Всього:",SUM($N$4:N10),IF($E$5="UAH","",L11))</f>
        <v/>
      </c>
      <c r="O11" s="25">
        <f t="shared" ca="1" si="0"/>
        <v>608689.41796419444</v>
      </c>
      <c r="P11" s="33">
        <f t="shared" ca="1" si="1"/>
        <v>46332</v>
      </c>
      <c r="Q11" s="8">
        <f t="shared" ca="1" si="4"/>
        <v>33005</v>
      </c>
      <c r="R11" s="33"/>
      <c r="W11" s="12" t="s">
        <v>218</v>
      </c>
      <c r="X11" s="12"/>
      <c r="Y11" s="39">
        <f ca="1">AB2/AC2/E3*12</f>
        <v>3.0905495065906408</v>
      </c>
    </row>
    <row r="12" spans="1:29" s="8" customFormat="1" ht="12.75" x14ac:dyDescent="0.2">
      <c r="F12" s="34">
        <f t="shared" ca="1" si="2"/>
        <v>9.3000000000000007</v>
      </c>
      <c r="G12" s="23">
        <f t="shared" ca="1" si="5"/>
        <v>46362</v>
      </c>
      <c r="H12" s="24">
        <f t="shared" si="3"/>
        <v>8</v>
      </c>
      <c r="I12" s="25">
        <f ca="1">IF($G12="Всього:",SUM($I$4:I11),MAX($C$32,K12))</f>
        <v>33005</v>
      </c>
      <c r="J12" s="25">
        <f ca="1">IF($G12="Всього:",SUM($J$4:J11),IF(I12-SUM(K12:L12)&lt;0,0,I12-SUM(K12:L12)))</f>
        <v>28287.657010777493</v>
      </c>
      <c r="K12" s="25">
        <f ca="1">IF(G12="Всього:",SUM($K$5:K11),F12*O11/36000*(G12-G11))</f>
        <v>4717.3429892225076</v>
      </c>
      <c r="L12" s="25">
        <f ca="1">IF(G12="Всього:",SUM($L$5:L11),$E$4)</f>
        <v>0</v>
      </c>
      <c r="M12" s="25">
        <f ca="1">IF(G12="Всього:",SUM($M$5:M11),IF($E$5="UAH",J12+L12+K12,J12+K12))</f>
        <v>33005</v>
      </c>
      <c r="N12" s="27" t="str">
        <f ca="1">IF(G12="Всього:",SUM($N$4:N11),IF($E$5="UAH","",L12))</f>
        <v/>
      </c>
      <c r="O12" s="25">
        <f t="shared" ca="1" si="0"/>
        <v>580401.76095341693</v>
      </c>
      <c r="P12" s="33">
        <f t="shared" ca="1" si="1"/>
        <v>46362</v>
      </c>
      <c r="Q12" s="8">
        <f t="shared" ca="1" si="4"/>
        <v>33005</v>
      </c>
      <c r="R12" s="33"/>
      <c r="W12" s="12" t="s">
        <v>219</v>
      </c>
      <c r="X12" s="12"/>
      <c r="Y12" s="12">
        <f>Калькулятор!N43+Калькулятор!N37</f>
        <v>0</v>
      </c>
    </row>
    <row r="13" spans="1:29" s="8" customFormat="1" ht="12.75" x14ac:dyDescent="0.2">
      <c r="F13" s="34">
        <f t="shared" ca="1" si="2"/>
        <v>9.3000000000000007</v>
      </c>
      <c r="G13" s="23">
        <f t="shared" ca="1" si="5"/>
        <v>46393</v>
      </c>
      <c r="H13" s="24">
        <f t="shared" si="3"/>
        <v>9</v>
      </c>
      <c r="I13" s="25">
        <f ca="1">IF($G13="Всього:",SUM($I$4:I12),MAX($C$32,K13))</f>
        <v>33005</v>
      </c>
      <c r="J13" s="25">
        <f ca="1">IF($G13="Всього:",SUM($J$4:J12),IF(I13-SUM(K13:L13)&lt;0,0,I13-SUM(K13:L13)))</f>
        <v>28356.949231031387</v>
      </c>
      <c r="K13" s="25">
        <f ca="1">IF(G13="Всього:",SUM($K$5:K12),F13*O12/36000*(G13-G12))</f>
        <v>4648.0507689686137</v>
      </c>
      <c r="L13" s="25">
        <f ca="1">IF(G13="Всього:",SUM($L$5:L12),$E$4)</f>
        <v>0</v>
      </c>
      <c r="M13" s="25">
        <f ca="1">IF(G13="Всього:",SUM($M$5:M12),IF($E$5="UAH",J13+L13+K13,J13+K13))</f>
        <v>33005</v>
      </c>
      <c r="N13" s="27" t="str">
        <f ca="1">IF(G13="Всього:",SUM($N$4:N12),IF($E$5="UAH","",L13))</f>
        <v/>
      </c>
      <c r="O13" s="25">
        <f t="shared" ca="1" si="0"/>
        <v>552044.81172238558</v>
      </c>
      <c r="P13" s="33">
        <f t="shared" ca="1" si="1"/>
        <v>46393</v>
      </c>
      <c r="Q13" s="8">
        <f t="shared" ca="1" si="4"/>
        <v>33005</v>
      </c>
    </row>
    <row r="14" spans="1:29" s="8" customFormat="1" ht="12.75" x14ac:dyDescent="0.2">
      <c r="A14" s="12" t="s">
        <v>203</v>
      </c>
      <c r="B14" s="23">
        <f ca="1">EDATE($C$4,$E$3)-1</f>
        <v>47213</v>
      </c>
      <c r="F14" s="34">
        <f t="shared" ca="1" si="2"/>
        <v>9.3000000000000007</v>
      </c>
      <c r="G14" s="23">
        <f t="shared" ca="1" si="5"/>
        <v>46424</v>
      </c>
      <c r="H14" s="24">
        <f t="shared" si="3"/>
        <v>10</v>
      </c>
      <c r="I14" s="25">
        <f ca="1">IF($G14="Всього:",SUM($I$4:I13),MAX($C$32,K14))</f>
        <v>33005</v>
      </c>
      <c r="J14" s="25">
        <f ca="1">IF($G14="Всього:",SUM($J$4:J13),IF(I14-SUM(K14:L14)&lt;0,0,I14-SUM(K14:L14)))</f>
        <v>28584.041132789895</v>
      </c>
      <c r="K14" s="25">
        <f ca="1">IF(G14="Всього:",SUM($K$5:K13),F14*O13/36000*(G14-G13))</f>
        <v>4420.9588672101054</v>
      </c>
      <c r="L14" s="25">
        <f ca="1">IF(G14="Всього:",SUM($L$5:L13),$E$4)</f>
        <v>0</v>
      </c>
      <c r="M14" s="25">
        <f ca="1">IF(G14="Всього:",SUM($M$5:M13),IF($E$5="UAH",J14+L14+K14,J14+K14))</f>
        <v>33005</v>
      </c>
      <c r="N14" s="27" t="str">
        <f ca="1">IF(G14="Всього:",SUM($N$4:N13),IF($E$5="UAH","",L14))</f>
        <v/>
      </c>
      <c r="O14" s="25">
        <f t="shared" ca="1" si="0"/>
        <v>523460.77058959566</v>
      </c>
      <c r="P14" s="33">
        <f t="shared" ca="1" si="1"/>
        <v>46424</v>
      </c>
      <c r="Q14" s="8">
        <f t="shared" ca="1" si="4"/>
        <v>33005</v>
      </c>
      <c r="T14" s="8">
        <v>315373.34000000003</v>
      </c>
      <c r="U14" s="8">
        <f>T14+Q4</f>
        <v>1992306.6733333336</v>
      </c>
      <c r="X14" s="8">
        <v>2500000</v>
      </c>
    </row>
    <row r="15" spans="1:29" s="8" customFormat="1" x14ac:dyDescent="0.25">
      <c r="A15"/>
      <c r="B15"/>
      <c r="F15" s="34">
        <f t="shared" ca="1" si="2"/>
        <v>9.3000000000000007</v>
      </c>
      <c r="G15" s="23">
        <f t="shared" ca="1" si="5"/>
        <v>46452</v>
      </c>
      <c r="H15" s="24">
        <f t="shared" si="3"/>
        <v>11</v>
      </c>
      <c r="I15" s="25">
        <f ca="1">IF($G15="Всього:",SUM($I$4:I14),MAX($C$32,K15))</f>
        <v>33005</v>
      </c>
      <c r="J15" s="25">
        <f ca="1">IF($G15="Всього:",SUM($J$4:J14),IF(I15-SUM(K15:L15)&lt;0,0,I15-SUM(K15:L15)))</f>
        <v>29218.633759401924</v>
      </c>
      <c r="K15" s="25">
        <f ca="1">IF(G15="Всього:",SUM($K$5:K14),F15*O14/36000*(G15-G14))</f>
        <v>3786.3662405980754</v>
      </c>
      <c r="L15" s="25">
        <f ca="1">IF(G15="Всього:",SUM($L$5:L14),$E$4)</f>
        <v>0</v>
      </c>
      <c r="M15" s="25">
        <f ca="1">IF(G15="Всього:",SUM($M$5:M14),IF($E$5="UAH",J15+L15+K15,J15+K15))</f>
        <v>33005</v>
      </c>
      <c r="N15" s="27" t="str">
        <f ca="1">IF(G15="Всього:",SUM($N$4:N14),IF($E$5="UAH","",L15))</f>
        <v/>
      </c>
      <c r="O15" s="25">
        <f t="shared" ca="1" si="0"/>
        <v>494242.13683019375</v>
      </c>
      <c r="P15" s="33">
        <f t="shared" ca="1" si="1"/>
        <v>46452</v>
      </c>
      <c r="Q15" s="8">
        <f t="shared" ca="1" si="4"/>
        <v>33005</v>
      </c>
      <c r="U15" s="8">
        <f>400000-Y8-W13-Y6-Y5</f>
        <v>-2025333.3333333333</v>
      </c>
      <c r="X15" s="12"/>
      <c r="Y15" s="12">
        <v>12</v>
      </c>
      <c r="Z15" s="12">
        <v>24</v>
      </c>
      <c r="AA15" s="12">
        <v>36</v>
      </c>
      <c r="AB15" s="12">
        <v>48</v>
      </c>
      <c r="AC15" s="12">
        <v>60</v>
      </c>
    </row>
    <row r="16" spans="1:29" s="8" customFormat="1" x14ac:dyDescent="0.25">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9.3000000000000007</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9.3000000000000007</v>
      </c>
      <c r="G16" s="23">
        <f t="shared" ca="1" si="5"/>
        <v>46483</v>
      </c>
      <c r="H16" s="24">
        <f t="shared" si="3"/>
        <v>12</v>
      </c>
      <c r="I16" s="25">
        <f ca="1">IF($G16="Всього:",SUM($I$4:I15),MAX($C$32,K16))</f>
        <v>33005</v>
      </c>
      <c r="J16" s="25">
        <f ca="1">IF($G16="Всього:",SUM($J$4:J15),IF(I16-SUM(K16:L16)&lt;0,0,I16-SUM(K16:L16)))</f>
        <v>29046.944220884863</v>
      </c>
      <c r="K16" s="25">
        <f ca="1">IF(G16="Всього:",SUM($K$5:K15),F16*O15/36000*(G16-G15))</f>
        <v>3958.0557791151355</v>
      </c>
      <c r="L16" s="25">
        <f ca="1">IF(G16="Всього:",SUM($L$5:L15),$E$4)</f>
        <v>0</v>
      </c>
      <c r="M16" s="25">
        <f ca="1">IF(G16="Всього:",SUM($M$5:M15),IF($E$5="UAH",J16+L16+K16,J16+K16))</f>
        <v>33005</v>
      </c>
      <c r="N16" s="27" t="str">
        <f ca="1">IF(G16="Всього:",SUM($N$4:N15),IF($E$5="UAH","",L16))</f>
        <v/>
      </c>
      <c r="O16" s="25">
        <f t="shared" ca="1" si="0"/>
        <v>465195.19260930887</v>
      </c>
      <c r="P16" s="33">
        <f t="shared" ca="1" si="1"/>
        <v>46483</v>
      </c>
      <c r="Q16" s="8">
        <f t="shared" ca="1" si="4"/>
        <v>82325</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9.3000000000000007</v>
      </c>
      <c r="G17" s="23">
        <f t="shared" ca="1" si="5"/>
        <v>46513</v>
      </c>
      <c r="H17" s="24">
        <f t="shared" si="3"/>
        <v>13</v>
      </c>
      <c r="I17" s="25">
        <f ca="1">IF($G17="Всього:",SUM($I$4:I16),MAX($C$32,K17))</f>
        <v>33005</v>
      </c>
      <c r="J17" s="25">
        <f ca="1">IF($G17="Всього:",SUM($J$4:J16),IF(I17-SUM(K17:L17)&lt;0,0,I17-SUM(K17:L17)))</f>
        <v>29399.737257277855</v>
      </c>
      <c r="K17" s="25">
        <f ca="1">IF(G17="Всього:",SUM($K$5:K16),F17*O16/36000*(G17-G16))</f>
        <v>3605.2627427221441</v>
      </c>
      <c r="L17" s="25">
        <f ca="1">IF(G17="Всього:",SUM($L$5:L16),$E$4)</f>
        <v>0</v>
      </c>
      <c r="M17" s="25">
        <f ca="1">IF(G17="Всього:",SUM($M$5:M16),IF($E$5="UAH",J17+L17+K17,J17+K17))</f>
        <v>33005</v>
      </c>
      <c r="N17" s="27" t="str">
        <f ca="1">IF(G17="Всього:",SUM($N$4:N16),IF($E$5="UAH","",L17))</f>
        <v/>
      </c>
      <c r="O17" s="25">
        <f t="shared" ca="1" si="0"/>
        <v>435795.45535203104</v>
      </c>
      <c r="P17" s="33">
        <f t="shared" ca="1" si="1"/>
        <v>46513</v>
      </c>
      <c r="Q17" s="8">
        <f t="shared" ca="1" si="4"/>
        <v>33005</v>
      </c>
      <c r="R17" s="8">
        <f>IF(E8&gt;H17,$AA$7*0.9*5.48%,"")</f>
        <v>49320</v>
      </c>
      <c r="X17" s="38">
        <v>0.4</v>
      </c>
      <c r="Y17" s="39">
        <v>0.58652825951576248</v>
      </c>
      <c r="Z17" s="39">
        <v>0.47590692639350884</v>
      </c>
      <c r="AA17" s="39">
        <v>0.4290104568004609</v>
      </c>
      <c r="AB17" s="39">
        <v>0.40521309971809383</v>
      </c>
      <c r="AC17" s="39">
        <v>0.37881106734275816</v>
      </c>
    </row>
    <row r="18" spans="1:36" s="8" customFormat="1" ht="12.75" x14ac:dyDescent="0.2">
      <c r="A18" s="59" t="s">
        <v>220</v>
      </c>
      <c r="B18" s="12">
        <v>0</v>
      </c>
      <c r="C18" s="8" t="s">
        <v>221</v>
      </c>
      <c r="D18" s="33"/>
      <c r="F18" s="34">
        <f t="shared" ca="1" si="2"/>
        <v>9.3000000000000007</v>
      </c>
      <c r="G18" s="23">
        <f t="shared" ca="1" si="5"/>
        <v>46544</v>
      </c>
      <c r="H18" s="24">
        <f t="shared" si="3"/>
        <v>14</v>
      </c>
      <c r="I18" s="25">
        <f ca="1">IF($G18="Всього:",SUM($I$4:I17),MAX($C$32,K18))</f>
        <v>33005</v>
      </c>
      <c r="J18" s="25">
        <f ca="1">IF($G18="Всього:",SUM($J$4:J17),IF(I18-SUM(K18:L18)&lt;0,0,I18-SUM(K18:L18)))</f>
        <v>29515.004728389151</v>
      </c>
      <c r="K18" s="25">
        <f ca="1">IF(G18="Всього:",SUM($K$5:K17),F18*O17/36000*(G18-G17))</f>
        <v>3489.9952716108487</v>
      </c>
      <c r="L18" s="25">
        <f ca="1">IF(G18="Всього:",SUM($L$5:L17),$E$4)</f>
        <v>0</v>
      </c>
      <c r="M18" s="25">
        <f ca="1">IF(G18="Всього:",SUM($M$5:M17),IF($E$5="UAH",J18+L18+K18,J18+K18))</f>
        <v>33005</v>
      </c>
      <c r="N18" s="27" t="str">
        <f ca="1">IF(G18="Всього:",SUM($N$4:N17),IF($E$5="UAH","",L18))</f>
        <v/>
      </c>
      <c r="O18" s="25">
        <f t="shared" ca="1" si="0"/>
        <v>406280.4506236419</v>
      </c>
      <c r="P18" s="33">
        <f t="shared" ca="1" si="1"/>
        <v>46544</v>
      </c>
      <c r="Q18" s="8">
        <f t="shared" ca="1" si="4"/>
        <v>33005</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222</v>
      </c>
      <c r="B19" s="59">
        <v>0</v>
      </c>
      <c r="C19" s="11"/>
      <c r="D19" s="11"/>
      <c r="E19" s="11"/>
      <c r="F19" s="34">
        <f t="shared" ca="1" si="2"/>
        <v>9.3000000000000007</v>
      </c>
      <c r="G19" s="23">
        <f t="shared" ca="1" si="5"/>
        <v>46574</v>
      </c>
      <c r="H19" s="24">
        <f t="shared" si="3"/>
        <v>15</v>
      </c>
      <c r="I19" s="25">
        <f ca="1">IF($G19="Всього:",SUM($I$4:I18),MAX($C$32,K19))</f>
        <v>33005</v>
      </c>
      <c r="J19" s="25">
        <f ca="1">IF($G19="Всього:",SUM($J$4:J18),IF(I19-SUM(K19:L19)&lt;0,0,I19-SUM(K19:L19)))</f>
        <v>29856.326507666774</v>
      </c>
      <c r="K19" s="25">
        <f ca="1">IF(G19="Всього:",SUM($K$5:K18),F19*O18/36000*(G19-G18))</f>
        <v>3148.6734923332251</v>
      </c>
      <c r="L19" s="25">
        <f ca="1">IF(G19="Всього:",SUM($L$5:L18),$E$4)</f>
        <v>0</v>
      </c>
      <c r="M19" s="25">
        <f ca="1">IF(G19="Всього:",SUM($M$5:M18),IF($E$5="UAH",J19+L19+K19,J19+K19))</f>
        <v>33005</v>
      </c>
      <c r="N19" s="27" t="str">
        <f ca="1">IF(G19="Всього:",SUM($N$4:N18),IF($E$5="UAH","",L19))</f>
        <v/>
      </c>
      <c r="O19" s="25">
        <f t="shared" ca="1" si="0"/>
        <v>376424.12411597511</v>
      </c>
      <c r="P19" s="33">
        <f t="shared" ca="1" si="1"/>
        <v>46574</v>
      </c>
      <c r="Q19" s="8">
        <f t="shared" ca="1" si="4"/>
        <v>33005</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9.3000000000000007</v>
      </c>
      <c r="G20" s="23">
        <f t="shared" ca="1" si="5"/>
        <v>46605</v>
      </c>
      <c r="H20" s="24">
        <f t="shared" si="3"/>
        <v>16</v>
      </c>
      <c r="I20" s="25">
        <f ca="1">IF($G20="Всього:",SUM($I$4:I19),MAX($C$32,K20))</f>
        <v>33005</v>
      </c>
      <c r="J20" s="25">
        <f ca="1">IF($G20="Всього:",SUM($J$4:J19),IF(I20-SUM(K20:L20)&lt;0,0,I20-SUM(K20:L20)))</f>
        <v>29990.470139371231</v>
      </c>
      <c r="K20" s="25">
        <f ca="1">IF(G20="Всього:",SUM($K$5:K19),F20*O19/36000*(G20-G19))</f>
        <v>3014.5298606287674</v>
      </c>
      <c r="L20" s="25">
        <f ca="1">IF(G20="Всього:",SUM($L$5:L19),$E$4)</f>
        <v>0</v>
      </c>
      <c r="M20" s="25">
        <f ca="1">IF(G20="Всього:",SUM($M$5:M19),IF($E$5="UAH",J20+L20+K20,J20+K20))</f>
        <v>33005</v>
      </c>
      <c r="N20" s="27" t="str">
        <f ca="1">IF(G20="Всього:",SUM($N$4:N19),IF($E$5="UAH","",L20))</f>
        <v/>
      </c>
      <c r="O20" s="25">
        <f t="shared" ca="1" si="0"/>
        <v>346433.65397660388</v>
      </c>
      <c r="P20" s="33">
        <f t="shared" ca="1" si="1"/>
        <v>46605</v>
      </c>
      <c r="Q20" s="8">
        <f t="shared" ca="1" si="4"/>
        <v>33005</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9.3000000000000007</v>
      </c>
      <c r="G21" s="23">
        <f t="shared" ca="1" si="5"/>
        <v>46636</v>
      </c>
      <c r="H21" s="24">
        <f t="shared" si="3"/>
        <v>17</v>
      </c>
      <c r="I21" s="25">
        <f ca="1">IF($G21="Всього:",SUM($I$4:I20),MAX($C$32,K21))</f>
        <v>33005</v>
      </c>
      <c r="J21" s="25">
        <f ca="1">IF($G21="Всього:",SUM($J$4:J20),IF(I21-SUM(K21:L21)&lt;0,0,I21-SUM(K21:L21)))</f>
        <v>30230.643821070698</v>
      </c>
      <c r="K21" s="25">
        <f ca="1">IF(G21="Всього:",SUM($K$5:K20),F21*O20/36000*(G21-G20))</f>
        <v>2774.356178929303</v>
      </c>
      <c r="L21" s="25">
        <f ca="1">IF(G21="Всього:",SUM($L$5:L20),$E$4)</f>
        <v>0</v>
      </c>
      <c r="M21" s="25">
        <f ca="1">IF(G21="Всього:",SUM($M$5:M20),IF($E$5="UAH",J21+L21+K21,J21+K21))</f>
        <v>33005</v>
      </c>
      <c r="N21" s="27" t="str">
        <f ca="1">IF(G21="Всього:",SUM($N$4:N20),IF($E$5="UAH","",L21))</f>
        <v/>
      </c>
      <c r="O21" s="25">
        <f t="shared" ca="1" si="0"/>
        <v>316203.01015553321</v>
      </c>
      <c r="P21" s="33">
        <f t="shared" ca="1" si="1"/>
        <v>46636</v>
      </c>
      <c r="Q21" s="8">
        <f t="shared" ca="1" si="4"/>
        <v>33005</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9.3000000000000007</v>
      </c>
      <c r="G22" s="23">
        <f t="shared" ca="1" si="5"/>
        <v>46666</v>
      </c>
      <c r="H22" s="24">
        <f t="shared" si="3"/>
        <v>18</v>
      </c>
      <c r="I22" s="25">
        <f ca="1">IF($G22="Всього:",SUM($I$4:I21),MAX($C$32,K22))</f>
        <v>33005</v>
      </c>
      <c r="J22" s="25">
        <f ca="1">IF($G22="Всього:",SUM($J$4:J21),IF(I22-SUM(K22:L22)&lt;0,0,I22-SUM(K22:L22)))</f>
        <v>30554.426671294619</v>
      </c>
      <c r="K22" s="25">
        <f ca="1">IF(G22="Всього:",SUM($K$5:K21),F22*O21/36000*(G22-G21))</f>
        <v>2450.5733287053827</v>
      </c>
      <c r="L22" s="25">
        <f ca="1">IF(G22="Всього:",SUM($L$5:L21),$E$4)</f>
        <v>0</v>
      </c>
      <c r="M22" s="25">
        <f ca="1">IF(G22="Всього:",SUM($M$5:M21),IF($E$5="UAH",J22+L22+K22,J22+K22))</f>
        <v>33005</v>
      </c>
      <c r="N22" s="27" t="str">
        <f ca="1">IF(G22="Всього:",SUM($N$4:N21),IF($E$5="UAH","",L22))</f>
        <v/>
      </c>
      <c r="O22" s="25">
        <f t="shared" ca="1" si="0"/>
        <v>285648.5834842386</v>
      </c>
      <c r="P22" s="33">
        <f t="shared" ca="1" si="1"/>
        <v>46666</v>
      </c>
      <c r="Q22" s="8">
        <f t="shared" ca="1" si="4"/>
        <v>33005</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9.3000000000000007</v>
      </c>
      <c r="G23" s="23">
        <f t="shared" ca="1" si="5"/>
        <v>46697</v>
      </c>
      <c r="H23" s="24">
        <f t="shared" si="3"/>
        <v>19</v>
      </c>
      <c r="I23" s="25">
        <f ca="1">IF($G23="Всього:",SUM($I$4:I22),MAX($C$32,K23))</f>
        <v>33005</v>
      </c>
      <c r="J23" s="25">
        <f ca="1">IF($G23="Всього:",SUM($J$4:J22),IF(I23-SUM(K23:L23)&lt;0,0,I23-SUM(K23:L23)))</f>
        <v>30717.430927263722</v>
      </c>
      <c r="K23" s="25">
        <f ca="1">IF(G23="Всього:",SUM($K$5:K22),F23*O22/36000*(G23-G22))</f>
        <v>2287.5690727362771</v>
      </c>
      <c r="L23" s="25">
        <f ca="1">IF(G23="Всього:",SUM($L$5:L22),$E$4)</f>
        <v>0</v>
      </c>
      <c r="M23" s="25">
        <f ca="1">IF(G23="Всього:",SUM($M$5:M22),IF($E$5="UAH",J23+L23+K23,J23+K23))</f>
        <v>33005</v>
      </c>
      <c r="N23" s="27" t="str">
        <f ca="1">IF(G23="Всього:",SUM($N$4:N22),IF($E$5="UAH","",L23))</f>
        <v/>
      </c>
      <c r="O23" s="25">
        <f t="shared" ca="1" si="0"/>
        <v>254931.15255697488</v>
      </c>
      <c r="P23" s="33">
        <f t="shared" ca="1" si="1"/>
        <v>46697</v>
      </c>
      <c r="Q23" s="8">
        <f t="shared" ca="1" si="4"/>
        <v>33005</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9.3000000000000007</v>
      </c>
      <c r="G24" s="23">
        <f t="shared" ca="1" si="5"/>
        <v>46727</v>
      </c>
      <c r="H24" s="24">
        <f t="shared" si="3"/>
        <v>20</v>
      </c>
      <c r="I24" s="25">
        <f ca="1">IF($G24="Всього:",SUM($I$4:I23),MAX($C$32,K24))</f>
        <v>33005</v>
      </c>
      <c r="J24" s="25">
        <f ca="1">IF($G24="Всього:",SUM($J$4:J23),IF(I24-SUM(K24:L24)&lt;0,0,I24-SUM(K24:L24)))</f>
        <v>31029.283567683444</v>
      </c>
      <c r="K24" s="25">
        <f ca="1">IF(G24="Всього:",SUM($K$5:K23),F24*O23/36000*(G24-G23))</f>
        <v>1975.7164323165555</v>
      </c>
      <c r="L24" s="25">
        <f ca="1">IF(G24="Всього:",SUM($L$5:L23),$E$4)</f>
        <v>0</v>
      </c>
      <c r="M24" s="25">
        <f ca="1">IF(G24="Всього:",SUM($M$5:M23),IF($E$5="UAH",J24+L24+K24,J24+K24))</f>
        <v>33005</v>
      </c>
      <c r="N24" s="27" t="str">
        <f ca="1">IF(G24="Всього:",SUM($N$4:N23),IF($E$5="UAH","",L24))</f>
        <v/>
      </c>
      <c r="O24" s="25">
        <f t="shared" ca="1" si="0"/>
        <v>223901.86898929143</v>
      </c>
      <c r="P24" s="33">
        <f t="shared" ca="1" si="1"/>
        <v>46727</v>
      </c>
      <c r="Q24" s="8">
        <f t="shared" ca="1" si="4"/>
        <v>33005</v>
      </c>
      <c r="S24" s="32"/>
      <c r="X24" s="38">
        <v>0.4</v>
      </c>
      <c r="Y24" s="39"/>
      <c r="Z24" s="39"/>
      <c r="AA24" s="39"/>
      <c r="AB24" s="39"/>
      <c r="AC24" s="39"/>
    </row>
    <row r="25" spans="1:36" s="8" customFormat="1" ht="12.75" x14ac:dyDescent="0.2">
      <c r="A25" s="11"/>
      <c r="B25" s="11"/>
      <c r="C25" s="11"/>
      <c r="D25" s="11"/>
      <c r="E25" s="11"/>
      <c r="F25" s="34">
        <f t="shared" ca="1" si="2"/>
        <v>9.3000000000000007</v>
      </c>
      <c r="G25" s="23">
        <f t="shared" ca="1" si="5"/>
        <v>46758</v>
      </c>
      <c r="H25" s="24">
        <f t="shared" si="3"/>
        <v>21</v>
      </c>
      <c r="I25" s="25">
        <f ca="1">IF($G25="Всього:",SUM($I$4:I24),MAX($C$32,K25))</f>
        <v>33005</v>
      </c>
      <c r="J25" s="25">
        <f ca="1">IF($G25="Всього:",SUM($J$4:J24),IF(I25-SUM(K25:L25)&lt;0,0,I25-SUM(K25:L25)))</f>
        <v>31211.919199177424</v>
      </c>
      <c r="K25" s="25">
        <f ca="1">IF(G25="Всього:",SUM($K$5:K24),F25*O24/36000*(G25-G24))</f>
        <v>1793.0808008225756</v>
      </c>
      <c r="L25" s="25">
        <f ca="1">IF(G25="Всього:",SUM($L$5:L24),$E$4)</f>
        <v>0</v>
      </c>
      <c r="M25" s="25">
        <f ca="1">IF(G25="Всього:",SUM($M$5:M24),IF($E$5="UAH",J25+L25+K25,J25+K25))</f>
        <v>33005</v>
      </c>
      <c r="N25" s="27" t="str">
        <f ca="1">IF(G25="Всього:",SUM($N$4:N24),IF($E$5="UAH","",L25))</f>
        <v/>
      </c>
      <c r="O25" s="25">
        <f t="shared" ca="1" si="0"/>
        <v>192689.94979011401</v>
      </c>
      <c r="P25" s="33">
        <f t="shared" ca="1" si="1"/>
        <v>46758</v>
      </c>
      <c r="Q25" s="8">
        <f t="shared" ca="1" si="4"/>
        <v>33005</v>
      </c>
      <c r="X25" s="38">
        <v>0.5</v>
      </c>
      <c r="Y25" s="39"/>
      <c r="Z25" s="39"/>
      <c r="AA25" s="39"/>
      <c r="AB25" s="39"/>
      <c r="AC25" s="39"/>
    </row>
    <row r="26" spans="1:36" s="8" customFormat="1" ht="12.75" x14ac:dyDescent="0.2">
      <c r="A26" s="11"/>
      <c r="B26" s="11"/>
      <c r="C26" s="11"/>
      <c r="D26" s="11"/>
      <c r="E26" s="11"/>
      <c r="F26" s="34">
        <f t="shared" ca="1" si="2"/>
        <v>9.3000000000000007</v>
      </c>
      <c r="G26" s="23">
        <f t="shared" ca="1" si="5"/>
        <v>46789</v>
      </c>
      <c r="H26" s="24">
        <f t="shared" si="3"/>
        <v>22</v>
      </c>
      <c r="I26" s="25">
        <f ca="1">IF($G26="Всього:",SUM($I$4:I25),MAX($C$32,K26))</f>
        <v>33005</v>
      </c>
      <c r="J26" s="25">
        <f ca="1">IF($G26="Всього:",SUM($J$4:J25),IF(I26-SUM(K26:L26)&lt;0,0,I26-SUM(K26:L26)))</f>
        <v>31461.874652097504</v>
      </c>
      <c r="K26" s="25">
        <f ca="1">IF(G26="Всього:",SUM($K$5:K25),F26*O25/36000*(G26-G25))</f>
        <v>1543.1253479024967</v>
      </c>
      <c r="L26" s="25">
        <f ca="1">IF(G26="Всього:",SUM($L$5:L25),$E$4)</f>
        <v>0</v>
      </c>
      <c r="M26" s="25">
        <f ca="1">IF(G26="Всього:",SUM($M$5:M25),IF($E$5="UAH",J26+L26+K26,J26+K26))</f>
        <v>33005</v>
      </c>
      <c r="N26" s="27" t="str">
        <f ca="1">IF(G26="Всього:",SUM($N$4:N25),IF($E$5="UAH","",L26))</f>
        <v/>
      </c>
      <c r="O26" s="25">
        <f t="shared" ca="1" si="0"/>
        <v>161228.07513801652</v>
      </c>
      <c r="P26" s="33">
        <f t="shared" ca="1" si="1"/>
        <v>46789</v>
      </c>
      <c r="Q26" s="8">
        <f t="shared" ca="1" si="4"/>
        <v>33005</v>
      </c>
      <c r="X26" s="38">
        <v>0.6</v>
      </c>
      <c r="Y26" s="39"/>
      <c r="Z26" s="39"/>
      <c r="AA26" s="39"/>
      <c r="AB26" s="39"/>
      <c r="AC26" s="39"/>
    </row>
    <row r="27" spans="1:36" s="8" customFormat="1" ht="12.75" x14ac:dyDescent="0.2">
      <c r="A27" s="11"/>
      <c r="B27" s="11"/>
      <c r="C27" s="11"/>
      <c r="D27" s="11"/>
      <c r="E27" s="11"/>
      <c r="F27" s="34">
        <f t="shared" ca="1" si="2"/>
        <v>9.3000000000000007</v>
      </c>
      <c r="G27" s="23">
        <f t="shared" ca="1" si="5"/>
        <v>46818</v>
      </c>
      <c r="H27" s="24">
        <f t="shared" si="3"/>
        <v>23</v>
      </c>
      <c r="I27" s="25">
        <f ca="1">IF($G27="Всього:",SUM($I$4:I26),MAX($C$32,K27))</f>
        <v>33005</v>
      </c>
      <c r="J27" s="25">
        <f ca="1">IF($G27="Всього:",SUM($J$4:J26),IF(I27-SUM(K27:L27)&lt;0,0,I27-SUM(K27:L27)))</f>
        <v>31797.133003757692</v>
      </c>
      <c r="K27" s="25">
        <f ca="1">IF(G27="Всього:",SUM($K$5:K26),F27*O26/36000*(G27-G26))</f>
        <v>1207.8669962423071</v>
      </c>
      <c r="L27" s="25">
        <f ca="1">IF(G27="Всього:",SUM($L$5:L26),$E$4)</f>
        <v>0</v>
      </c>
      <c r="M27" s="25">
        <f ca="1">IF(G27="Всього:",SUM($M$5:M26),IF($E$5="UAH",J27+L27+K27,J27+K27))</f>
        <v>33005</v>
      </c>
      <c r="N27" s="27" t="str">
        <f ca="1">IF(G27="Всього:",SUM($N$4:N26),IF($E$5="UAH","",L27))</f>
        <v/>
      </c>
      <c r="O27" s="25">
        <f t="shared" ca="1" si="0"/>
        <v>129430.94213425883</v>
      </c>
      <c r="P27" s="33">
        <f t="shared" ca="1" si="1"/>
        <v>46818</v>
      </c>
      <c r="Q27" s="8">
        <f t="shared" ca="1" si="4"/>
        <v>33005</v>
      </c>
      <c r="X27" s="39">
        <v>0.7</v>
      </c>
      <c r="Y27" s="39">
        <v>1.0437223553657533</v>
      </c>
      <c r="Z27" s="39"/>
      <c r="AA27" s="39"/>
      <c r="AB27" s="39"/>
      <c r="AC27" s="39"/>
      <c r="AG27" s="40"/>
    </row>
    <row r="28" spans="1:36" s="8" customFormat="1" ht="12.75" x14ac:dyDescent="0.2">
      <c r="F28" s="34">
        <f t="shared" ca="1" si="2"/>
        <v>9.3000000000000007</v>
      </c>
      <c r="G28" s="23">
        <f ca="1">IF(H27=$E$3,"Всього:",IF($E$3=H28,$B$14,DATE(YEAR(G27),MONTH(G27)+1,IF($B$7&lt;&gt;"",DAY(IF($B$7&gt;DAY(EOMONTH(G27,1)),EOMONTH(G27,1),$B$7)),DAY(1)))))</f>
        <v>46849</v>
      </c>
      <c r="H28" s="24">
        <f t="shared" si="3"/>
        <v>24</v>
      </c>
      <c r="I28" s="25">
        <v>33016.529340613146</v>
      </c>
      <c r="J28" s="25">
        <f ca="1">IF($G28="Всього:",SUM($J$4:J27),IF(I28-SUM(K28:L28)&lt;0,0,I28-SUM(K28:L28)))</f>
        <v>31980.003212354623</v>
      </c>
      <c r="K28" s="25">
        <f ca="1">IF(G28="Всього:",SUM($K$5:K27),F28*O27/36000*(G28-G27))</f>
        <v>1036.5261282585229</v>
      </c>
      <c r="L28" s="25">
        <f ca="1">IF(G28="Всього:",SUM($L$5:L27),$E$4)</f>
        <v>0</v>
      </c>
      <c r="M28" s="25">
        <f ca="1">IF(G28="Всього:",SUM($M$5:M27),IF($E$5="UAH",J28+L28+K28,J28+K28))</f>
        <v>33016.529340613146</v>
      </c>
      <c r="N28" s="27" t="str">
        <f ca="1">IF(G28="Всього:",SUM($N$4:N27),IF($E$5="UAH","",L28))</f>
        <v/>
      </c>
      <c r="O28" s="25">
        <f t="shared" ca="1" si="0"/>
        <v>97450.938921904206</v>
      </c>
      <c r="P28" s="33">
        <f t="shared" ca="1" si="1"/>
        <v>46849</v>
      </c>
      <c r="Q28" s="8">
        <f t="shared" si="4"/>
        <v>77404.529340613139</v>
      </c>
      <c r="Y28" s="39">
        <v>0.63834061026573197</v>
      </c>
    </row>
    <row r="29" spans="1:36" s="8" customFormat="1" ht="12.75" x14ac:dyDescent="0.2">
      <c r="F29" s="34">
        <f t="shared" ca="1" si="2"/>
        <v>9.3000000000000007</v>
      </c>
      <c r="G29" s="23">
        <f t="shared" ca="1" si="5"/>
        <v>46879</v>
      </c>
      <c r="H29" s="24">
        <f>IF(H28&gt;$E$8,"",H28+1)</f>
        <v>25</v>
      </c>
      <c r="I29" s="25">
        <f ca="1">IF($G29="Всього:",SUM($I$4:I28),MAX($C$32,K29))</f>
        <v>33005</v>
      </c>
      <c r="J29" s="25">
        <f ca="1">IF($G29="Всього:",SUM($J$4:J28),IF(I29-SUM(K29:L29)&lt;0,0,I29-SUM(K29:L29)))</f>
        <v>32249.755223355241</v>
      </c>
      <c r="K29" s="25">
        <f ca="1">IF(G29="Всього:",SUM($K$5:K28),F29*O28/36000*(G29-G28))</f>
        <v>755.24477664475762</v>
      </c>
      <c r="L29" s="25">
        <f ca="1">IF(G29="Всього:",SUM($L$5:L28),$E$4)</f>
        <v>0</v>
      </c>
      <c r="M29" s="25">
        <f ca="1">IF(G29="Всього:",SUM($M$5:M28),IF($E$5="UAH",J29+L29+K29,J29+K29))</f>
        <v>33005</v>
      </c>
      <c r="N29" s="27" t="str">
        <f ca="1">IF(G29="Всього:",SUM($N$4:N28),IF($E$5="UAH","",L29))</f>
        <v/>
      </c>
      <c r="O29" s="25">
        <f t="shared" ca="1" si="0"/>
        <v>65201.183698548964</v>
      </c>
      <c r="P29" s="33">
        <f t="shared" ca="1" si="1"/>
        <v>46879</v>
      </c>
      <c r="Q29" s="8">
        <f t="shared" ca="1" si="4"/>
        <v>33005</v>
      </c>
      <c r="R29" s="8">
        <f>IF(E8&gt;H28,$AA$7*0.9*0.9*5.48%,"")</f>
        <v>44388</v>
      </c>
    </row>
    <row r="30" spans="1:36" s="8" customFormat="1" ht="12.75" x14ac:dyDescent="0.2">
      <c r="F30" s="34">
        <f t="shared" ca="1" si="2"/>
        <v>9.3000000000000007</v>
      </c>
      <c r="G30" s="23">
        <f t="shared" ca="1" si="5"/>
        <v>46910</v>
      </c>
      <c r="H30" s="24">
        <f t="shared" si="3"/>
        <v>26</v>
      </c>
      <c r="I30" s="25">
        <f ca="1">IF($G30="Всього:",SUM($I$4:I29),MAX($C$32,K30))</f>
        <v>33005</v>
      </c>
      <c r="J30" s="25">
        <f ca="1">IF($G30="Всього:",SUM($J$4:J29),IF(I30-SUM(K30:L30)&lt;0,0,I30-SUM(K30:L30)))</f>
        <v>32482.84718721412</v>
      </c>
      <c r="K30" s="25">
        <f ca="1">IF(G30="Всього:",SUM($K$5:K29),F30*O29/36000*(G30-G29))</f>
        <v>522.15281278587963</v>
      </c>
      <c r="L30" s="25">
        <f ca="1">IF(G30="Всього:",SUM($L$5:L29),$E$4)</f>
        <v>0</v>
      </c>
      <c r="M30" s="25">
        <f ca="1">IF(G30="Всього:",SUM($M$5:M29),IF($E$5="UAH",J30+L30+K30,J30+K30))</f>
        <v>33005</v>
      </c>
      <c r="N30" s="27" t="str">
        <f ca="1">IF(G30="Всього:",SUM($N$4:N29),IF($E$5="UAH","",L30))</f>
        <v/>
      </c>
      <c r="O30" s="25">
        <f t="shared" ca="1" si="0"/>
        <v>32718.336511334845</v>
      </c>
      <c r="P30" s="33">
        <f t="shared" ca="1" si="1"/>
        <v>46910</v>
      </c>
      <c r="Q30" s="8">
        <f t="shared" ca="1" si="4"/>
        <v>33005</v>
      </c>
    </row>
    <row r="31" spans="1:36" s="8" customFormat="1" ht="12.75" x14ac:dyDescent="0.2">
      <c r="F31" s="34">
        <f t="shared" ca="1" si="2"/>
        <v>9.3000000000000007</v>
      </c>
      <c r="G31" s="23">
        <f t="shared" ca="1" si="5"/>
        <v>46940</v>
      </c>
      <c r="H31" s="24">
        <f t="shared" si="3"/>
        <v>27</v>
      </c>
      <c r="I31" s="25">
        <f ca="1">IF($G31="Всього:",SUM($I$4:I30),MAX($C$32,K31))</f>
        <v>33005</v>
      </c>
      <c r="J31" s="25">
        <f ca="1">IF($G31="Всього:",SUM($J$4:J30),IF(I31-SUM(K31:L31)&lt;0,0,I31-SUM(K31:L31)))</f>
        <v>32751.432892037155</v>
      </c>
      <c r="K31" s="25">
        <f ca="1">IF(G31="Всього:",SUM($K$5:K30),F31*O30/36000*(G31-G30))</f>
        <v>253.56710796284509</v>
      </c>
      <c r="L31" s="25">
        <f ca="1">IF(G31="Всього:",SUM($L$5:L30),$E$4)</f>
        <v>0</v>
      </c>
      <c r="M31" s="25">
        <f ca="1">IF(G31="Всього:",SUM($M$5:M30),IF($E$5="UAH",J31+L31+K31,J31+K31))</f>
        <v>33005</v>
      </c>
      <c r="N31" s="27" t="str">
        <f ca="1">IF(G31="Всього:",SUM($N$4:N30),IF($E$5="UAH","",L31))</f>
        <v/>
      </c>
      <c r="O31" s="25">
        <f t="shared" ca="1" si="0"/>
        <v>-33.096380702310853</v>
      </c>
      <c r="P31" s="33">
        <f t="shared" ca="1" si="1"/>
        <v>46940</v>
      </c>
      <c r="Q31" s="8">
        <f t="shared" ca="1" si="4"/>
        <v>33005</v>
      </c>
    </row>
    <row r="32" spans="1:36" s="8" customFormat="1" ht="12.75" x14ac:dyDescent="0.2">
      <c r="A32" s="12" t="s">
        <v>204</v>
      </c>
      <c r="B32" s="26">
        <v>33005.426630397633</v>
      </c>
      <c r="C32" s="12">
        <v>33005</v>
      </c>
      <c r="D32" s="8" t="s">
        <v>76</v>
      </c>
      <c r="F32" s="34">
        <f t="shared" ca="1" si="2"/>
        <v>9.3000000000000007</v>
      </c>
      <c r="G32" s="23">
        <f t="shared" ca="1" si="5"/>
        <v>46971</v>
      </c>
      <c r="H32" s="24">
        <f t="shared" si="3"/>
        <v>28</v>
      </c>
      <c r="I32" s="25">
        <f ca="1">IF($G32="Всього:",SUM($I$4:I31),MAX($C$32,K32))</f>
        <v>33005</v>
      </c>
      <c r="J32" s="25">
        <f ca="1">IF($G32="Всього:",SUM($J$4:J31),IF(I32-SUM(K32:L32)&lt;0,0,I32-SUM(K32:L32)))</f>
        <v>33005.265046848792</v>
      </c>
      <c r="K32" s="25">
        <f ca="1">IF(G32="Всього:",SUM($K$5:K31),F32*O31/36000*(G32-G31))</f>
        <v>-0.2650468487910061</v>
      </c>
      <c r="L32" s="25">
        <f ca="1">IF(G32="Всього:",SUM($L$5:L31),$E$4)</f>
        <v>0</v>
      </c>
      <c r="M32" s="25">
        <f ca="1">IF(G32="Всього:",SUM($M$5:M31),IF($E$5="UAH",J32+L32+K32,J32+K32))</f>
        <v>33005</v>
      </c>
      <c r="N32" s="27" t="str">
        <f ca="1">IF(G32="Всього:",SUM($N$4:N31),IF($E$5="UAH","",L32))</f>
        <v/>
      </c>
      <c r="O32" s="25">
        <f t="shared" ca="1" si="0"/>
        <v>-33038.361427551106</v>
      </c>
      <c r="P32" s="33">
        <f t="shared" ca="1" si="1"/>
        <v>46971</v>
      </c>
      <c r="Q32" s="8">
        <f t="shared" ca="1" si="4"/>
        <v>33005</v>
      </c>
    </row>
    <row r="33" spans="1:18" s="8" customFormat="1" ht="12.75" x14ac:dyDescent="0.2">
      <c r="A33" s="12" t="s">
        <v>205</v>
      </c>
      <c r="B33" s="26">
        <v>33005.427061178612</v>
      </c>
      <c r="C33" s="12">
        <v>33016.529340613146</v>
      </c>
      <c r="D33" s="8" t="s">
        <v>206</v>
      </c>
      <c r="F33" s="34">
        <f t="shared" ca="1" si="2"/>
        <v>9.3000000000000007</v>
      </c>
      <c r="G33" s="23">
        <f t="shared" ca="1" si="5"/>
        <v>47002</v>
      </c>
      <c r="H33" s="24">
        <f t="shared" si="3"/>
        <v>29</v>
      </c>
      <c r="I33" s="25">
        <f ca="1">IF($G33="Всього:",SUM($I$4:I32),MAX($C$32,K33))</f>
        <v>33005</v>
      </c>
      <c r="J33" s="25">
        <f ca="1">IF($G33="Всього:",SUM($J$4:J32),IF(I33-SUM(K33:L33)&lt;0,0,I33-SUM(K33:L33)))</f>
        <v>33269.582211098968</v>
      </c>
      <c r="K33" s="25">
        <f ca="1">IF(G33="Всього:",SUM($K$5:K32),F33*O32/36000*(G33-G32))</f>
        <v>-264.58221109897181</v>
      </c>
      <c r="L33" s="25">
        <f ca="1">IF(G33="Всього:",SUM($L$5:L32),$E$4)</f>
        <v>0</v>
      </c>
      <c r="M33" s="25">
        <f ca="1">IF(G33="Всього:",SUM($M$5:M32),IF($E$5="UAH",J33+L33+K33,J33+K33))</f>
        <v>33005</v>
      </c>
      <c r="N33" s="27" t="str">
        <f ca="1">IF(G33="Всього:",SUM($N$4:N32),IF($E$5="UAH","",L33))</f>
        <v/>
      </c>
      <c r="O33" s="25">
        <f t="shared" ca="1" si="0"/>
        <v>-66307.943638650075</v>
      </c>
      <c r="P33" s="33">
        <f t="shared" ca="1" si="1"/>
        <v>47002</v>
      </c>
      <c r="Q33" s="8">
        <f t="shared" ca="1" si="4"/>
        <v>33005</v>
      </c>
    </row>
    <row r="34" spans="1:18" s="8" customFormat="1" ht="12.75" x14ac:dyDescent="0.2">
      <c r="A34" s="12" t="s">
        <v>207</v>
      </c>
      <c r="B34" s="12">
        <v>33016.529340613146</v>
      </c>
      <c r="C34" s="12"/>
      <c r="F34" s="34">
        <f t="shared" ca="1" si="2"/>
        <v>9.3000000000000007</v>
      </c>
      <c r="G34" s="23">
        <f t="shared" ca="1" si="5"/>
        <v>47032</v>
      </c>
      <c r="H34" s="24">
        <f t="shared" si="3"/>
        <v>30</v>
      </c>
      <c r="I34" s="25">
        <f ca="1">IF($G34="Всього:",SUM($I$4:I33),MAX($C$32,K34))</f>
        <v>33005</v>
      </c>
      <c r="J34" s="25">
        <f ca="1">IF($G34="Всього:",SUM($J$4:J33),IF(I34-SUM(K34:L34)&lt;0,0,I34-SUM(K34:L34)))</f>
        <v>33518.886563199536</v>
      </c>
      <c r="K34" s="25">
        <f ca="1">IF(G34="Всього:",SUM($K$5:K33),F34*O33/36000*(G34-G33))</f>
        <v>-513.88656319953816</v>
      </c>
      <c r="L34" s="25">
        <f ca="1">IF(G34="Всього:",SUM($L$5:L33),$E$4)</f>
        <v>0</v>
      </c>
      <c r="M34" s="25">
        <f ca="1">IF(G34="Всього:",SUM($M$5:M33),IF($E$5="UAH",J34+L34+K34,J34+K34))</f>
        <v>33005</v>
      </c>
      <c r="N34" s="27" t="str">
        <f ca="1">IF(G34="Всього:",SUM($N$4:N33),IF($E$5="UAH","",L34))</f>
        <v/>
      </c>
      <c r="O34" s="25">
        <f t="shared" ca="1" si="0"/>
        <v>-99826.830201849603</v>
      </c>
      <c r="P34" s="33">
        <f t="shared" ca="1" si="1"/>
        <v>47032</v>
      </c>
      <c r="Q34" s="8">
        <f t="shared" ca="1" si="4"/>
        <v>33005</v>
      </c>
    </row>
    <row r="35" spans="1:18" s="8" customFormat="1" ht="12.75" x14ac:dyDescent="0.2">
      <c r="F35" s="34">
        <f t="shared" ca="1" si="2"/>
        <v>9.3000000000000007</v>
      </c>
      <c r="G35" s="23">
        <f t="shared" ca="1" si="5"/>
        <v>47063</v>
      </c>
      <c r="H35" s="24">
        <f t="shared" si="3"/>
        <v>31</v>
      </c>
      <c r="I35" s="25">
        <f ca="1">IF($G35="Всього:",SUM($I$4:I34),MAX($C$32,K35))</f>
        <v>33005</v>
      </c>
      <c r="J35" s="25">
        <f ca="1">IF($G35="Всього:",SUM($J$4:J34),IF(I35-SUM(K35:L35)&lt;0,0,I35-SUM(K35:L35)))</f>
        <v>33804.446531866481</v>
      </c>
      <c r="K35" s="25">
        <f ca="1">IF(G35="Всього:",SUM($K$5:K34),F35*O34/36000*(G35-G34))</f>
        <v>-799.44653186647895</v>
      </c>
      <c r="L35" s="25">
        <f ca="1">IF(G35="Всього:",SUM($L$5:L34),$E$4)</f>
        <v>0</v>
      </c>
      <c r="M35" s="25">
        <f ca="1">IF(G35="Всього:",SUM($M$5:M34),IF($E$5="UAH",J35+L35+K35,J35+K35))</f>
        <v>33005</v>
      </c>
      <c r="N35" s="27" t="str">
        <f ca="1">IF(G35="Всього:",SUM($N$4:N34),IF($E$5="UAH","",L35))</f>
        <v/>
      </c>
      <c r="O35" s="25">
        <f t="shared" ca="1" si="0"/>
        <v>-133631.27673371608</v>
      </c>
      <c r="P35" s="33">
        <f t="shared" ca="1" si="1"/>
        <v>47063</v>
      </c>
      <c r="Q35" s="8">
        <f t="shared" ca="1" si="4"/>
        <v>33005</v>
      </c>
    </row>
    <row r="36" spans="1:18" s="8" customFormat="1" ht="12.75" x14ac:dyDescent="0.2">
      <c r="B36" s="29"/>
      <c r="F36" s="34">
        <f t="shared" ca="1" si="2"/>
        <v>9.3000000000000007</v>
      </c>
      <c r="G36" s="23">
        <f t="shared" ca="1" si="5"/>
        <v>47093</v>
      </c>
      <c r="H36" s="24">
        <f t="shared" si="3"/>
        <v>32</v>
      </c>
      <c r="I36" s="25">
        <f ca="1">IF($G36="Всього:",SUM($I$4:I35),MAX($C$32,K36))</f>
        <v>33005</v>
      </c>
      <c r="J36" s="25">
        <f ca="1">IF($G36="Всього:",SUM($J$4:J35),IF(I36-SUM(K36:L36)&lt;0,0,I36-SUM(K36:L36)))</f>
        <v>34040.6423946863</v>
      </c>
      <c r="K36" s="25">
        <f ca="1">IF(G36="Всього:",SUM($K$5:K35),F36*O35/36000*(G36-G35))</f>
        <v>-1035.6423946862999</v>
      </c>
      <c r="L36" s="25">
        <f ca="1">IF(G36="Всього:",SUM($L$5:L35),$E$4)</f>
        <v>0</v>
      </c>
      <c r="M36" s="25">
        <f ca="1">IF(G36="Всього:",SUM($M$5:M35),IF($E$5="UAH",J36+L36+K36,J36+K36))</f>
        <v>33005</v>
      </c>
      <c r="N36" s="27" t="str">
        <f ca="1">IF(G36="Всього:",SUM($N$4:N35),IF($E$5="UAH","",L36))</f>
        <v/>
      </c>
      <c r="O36" s="25">
        <f t="shared" ca="1" si="0"/>
        <v>-167671.91912840237</v>
      </c>
      <c r="P36" s="33">
        <f t="shared" ca="1" si="1"/>
        <v>47093</v>
      </c>
      <c r="Q36" s="8">
        <f t="shared" ca="1" si="4"/>
        <v>33005</v>
      </c>
    </row>
    <row r="37" spans="1:18" s="8" customFormat="1" ht="12.75" x14ac:dyDescent="0.2">
      <c r="F37" s="34">
        <f t="shared" ca="1" si="2"/>
        <v>9.3000000000000007</v>
      </c>
      <c r="G37" s="23">
        <f t="shared" ca="1" si="5"/>
        <v>47124</v>
      </c>
      <c r="H37" s="24">
        <f t="shared" si="3"/>
        <v>33</v>
      </c>
      <c r="I37" s="25">
        <f ca="1">IF($G37="Всього:",SUM($I$4:I36),MAX($C$32,K37))</f>
        <v>33005</v>
      </c>
      <c r="J37" s="25">
        <f ca="1">IF($G37="Всього:",SUM($J$4:J36),IF(I37-SUM(K37:L37)&lt;0,0,I37-SUM(K37:L37)))</f>
        <v>34347.772619019954</v>
      </c>
      <c r="K37" s="25">
        <f ca="1">IF(G37="Всього:",SUM($K$5:K36),F37*O36/36000*(G37-G36))</f>
        <v>-1342.7726190199558</v>
      </c>
      <c r="L37" s="25">
        <f ca="1">IF(G37="Всього:",SUM($L$5:L36),$E$4)</f>
        <v>0</v>
      </c>
      <c r="M37" s="25">
        <f ca="1">IF(G37="Всього:",SUM($M$5:M36),IF($E$5="UAH",J37+L37+K37,J37+K37))</f>
        <v>33005</v>
      </c>
      <c r="N37" s="27" t="str">
        <f ca="1">IF(G37="Всього:",SUM($N$4:N36),IF($E$5="UAH","",L37))</f>
        <v/>
      </c>
      <c r="O37" s="25">
        <f t="shared" ca="1" si="0"/>
        <v>-202019.69174742233</v>
      </c>
      <c r="P37" s="33">
        <f t="shared" ca="1" si="1"/>
        <v>47124</v>
      </c>
      <c r="Q37" s="8">
        <f t="shared" ca="1" si="4"/>
        <v>33005</v>
      </c>
    </row>
    <row r="38" spans="1:18" s="8" customFormat="1" ht="12.75" x14ac:dyDescent="0.2">
      <c r="F38" s="34">
        <f t="shared" ca="1" si="2"/>
        <v>9.3000000000000007</v>
      </c>
      <c r="G38" s="23">
        <f t="shared" ca="1" si="5"/>
        <v>47155</v>
      </c>
      <c r="H38" s="24">
        <f t="shared" si="3"/>
        <v>34</v>
      </c>
      <c r="I38" s="25">
        <f ca="1">IF($G38="Всього:",SUM($I$4:I37),MAX($C$32,K38))</f>
        <v>33005</v>
      </c>
      <c r="J38" s="25">
        <f ca="1">IF($G38="Всього:",SUM($J$4:J37),IF(I38-SUM(K38:L38)&lt;0,0,I38-SUM(K38:L38)))</f>
        <v>34622.841031410608</v>
      </c>
      <c r="K38" s="25">
        <f ca="1">IF(G38="Всього:",SUM($K$5:K37),F38*O37/36000*(G38-G37))</f>
        <v>-1617.8410314106075</v>
      </c>
      <c r="L38" s="25">
        <f ca="1">IF(G38="Всього:",SUM($L$5:L37),$E$4)</f>
        <v>0</v>
      </c>
      <c r="M38" s="25">
        <f ca="1">IF(G38="Всього:",SUM($M$5:M37),IF($E$5="UAH",J38+L38+K38,J38+K38))</f>
        <v>33005</v>
      </c>
      <c r="N38" s="27" t="str">
        <f ca="1">IF(G38="Всього:",SUM($N$4:N37),IF($E$5="UAH","",L38))</f>
        <v/>
      </c>
      <c r="O38" s="25">
        <f t="shared" ca="1" si="0"/>
        <v>-236642.53277883295</v>
      </c>
      <c r="P38" s="33">
        <f t="shared" ca="1" si="1"/>
        <v>47155</v>
      </c>
      <c r="Q38" s="8">
        <f t="shared" ca="1" si="4"/>
        <v>33005</v>
      </c>
    </row>
    <row r="39" spans="1:18" s="8" customFormat="1" ht="12.75" x14ac:dyDescent="0.2">
      <c r="F39" s="34">
        <f t="shared" ca="1" si="2"/>
        <v>9.3000000000000007</v>
      </c>
      <c r="G39" s="23">
        <f t="shared" ca="1" si="5"/>
        <v>47183</v>
      </c>
      <c r="H39" s="24">
        <f t="shared" si="3"/>
        <v>35</v>
      </c>
      <c r="I39" s="25">
        <f ca="1">IF($G39="Всього:",SUM($I$4:I38),MAX($C$32,K39))</f>
        <v>33005</v>
      </c>
      <c r="J39" s="25">
        <f ca="1">IF($G39="Всього:",SUM($J$4:J38),IF(I39-SUM(K39:L39)&lt;0,0,I39-SUM(K39:L39)))</f>
        <v>34716.714320433559</v>
      </c>
      <c r="K39" s="25">
        <f ca="1">IF(G39="Всього:",SUM($K$5:K38),F39*O38/36000*(G39-G38))</f>
        <v>-1711.7143204335582</v>
      </c>
      <c r="L39" s="25">
        <f ca="1">IF(G39="Всього:",SUM($L$5:L38),$E$4)</f>
        <v>0</v>
      </c>
      <c r="M39" s="25">
        <f ca="1">IF(G39="Всього:",SUM($M$5:M38),IF($E$5="UAH",J39+L39+K39,J39+K39))</f>
        <v>33005</v>
      </c>
      <c r="N39" s="27" t="str">
        <f ca="1">IF(G39="Всього:",SUM($N$4:N38),IF($E$5="UAH","",L39))</f>
        <v/>
      </c>
      <c r="O39" s="25">
        <f t="shared" ca="1" si="0"/>
        <v>-271359.2470992665</v>
      </c>
      <c r="P39" s="33">
        <f t="shared" ca="1" si="1"/>
        <v>47183</v>
      </c>
      <c r="Q39" s="8">
        <f t="shared" ca="1" si="4"/>
        <v>33005</v>
      </c>
    </row>
    <row r="40" spans="1:18" s="8" customFormat="1" ht="12.75" x14ac:dyDescent="0.2">
      <c r="F40" s="34">
        <f t="shared" ca="1" si="2"/>
        <v>9.3000000000000007</v>
      </c>
      <c r="G40" s="23">
        <f t="shared" ca="1" si="5"/>
        <v>47213</v>
      </c>
      <c r="H40" s="24">
        <f t="shared" si="3"/>
        <v>36</v>
      </c>
      <c r="I40" s="25">
        <f ca="1">IF($G40="Всього:",SUM($I$4:I39),MAX($C$32,K40))</f>
        <v>33005</v>
      </c>
      <c r="J40" s="25">
        <f ca="1">IF($G40="Всього:",SUM($J$4:J39),IF(I40-SUM(K40:L40)&lt;0,0,I40-SUM(K40:L40)))</f>
        <v>35108.034165019315</v>
      </c>
      <c r="K40" s="25">
        <f ca="1">IF(G40="Всього:",SUM($K$5:K39),F40*O39/36000*(G40-G39))</f>
        <v>-2103.0341650193159</v>
      </c>
      <c r="L40" s="25">
        <f ca="1">IF(G40="Всього:",SUM($L$5:L39),$E$4)</f>
        <v>0</v>
      </c>
      <c r="M40" s="25">
        <f ca="1">IF(G40="Всього:",SUM($M$5:M39),IF($E$5="UAH",J40+L40+K40,J40+K40))</f>
        <v>33005</v>
      </c>
      <c r="N40" s="27" t="str">
        <f ca="1">IF(G40="Всього:",SUM($N$4:N39),IF($E$5="UAH","",L40))</f>
        <v/>
      </c>
      <c r="O40" s="25">
        <f t="shared" ca="1" si="0"/>
        <v>-306467.28126428579</v>
      </c>
      <c r="P40" s="33">
        <f t="shared" ca="1" si="1"/>
        <v>47213</v>
      </c>
      <c r="Q40" s="8">
        <f t="shared" ca="1" si="4"/>
        <v>33005</v>
      </c>
    </row>
    <row r="41" spans="1:18" s="8" customFormat="1" ht="12.75" x14ac:dyDescent="0.2">
      <c r="F41" s="34" t="str">
        <f t="shared" si="2"/>
        <v/>
      </c>
      <c r="G41" s="23" t="str">
        <f t="shared" si="5"/>
        <v>Всього:</v>
      </c>
      <c r="H41" s="24">
        <f t="shared" si="3"/>
        <v>37</v>
      </c>
      <c r="I41" s="25">
        <f ca="1">IF($G41="Всього:",SUM($I$4:I40),MAX($C$32,K41))</f>
        <v>1188191.5293406132</v>
      </c>
      <c r="J41" s="25">
        <f ca="1">IF($G41="Всього:",SUM($J$4:J40),IF(I41-SUM(K41:L41)&lt;0,0,I41-SUM(K41:L41)))</f>
        <v>1106467.2812642858</v>
      </c>
      <c r="K41" s="25">
        <f ca="1">IF(G41="Всього:",SUM($K$5:K40),F41*O40/36000*(G41-G40))</f>
        <v>81724.248076327291</v>
      </c>
      <c r="L41" s="25">
        <f ca="1">IF(G41="Всього:",SUM($L$5:L40),$E$4)</f>
        <v>0</v>
      </c>
      <c r="M41" s="25">
        <f ca="1">IF(G41="Всього:",SUM($M$5:M40),IF($E$5="UAH",J41+L41+K41,J41+K41))</f>
        <v>1188191.5293406132</v>
      </c>
      <c r="N41" s="27">
        <f ca="1">IF(G41="Всього:",SUM($N$4:N40),IF($E$5="UAH","",L41))</f>
        <v>0</v>
      </c>
      <c r="O41" s="25">
        <f t="shared" ca="1" si="0"/>
        <v>-1412934.5625285716</v>
      </c>
      <c r="P41" s="33" t="str">
        <f t="shared" si="1"/>
        <v>Всього:</v>
      </c>
      <c r="Q41" s="8">
        <f t="shared" ca="1" si="4"/>
        <v>1188191.5293406132</v>
      </c>
      <c r="R41" s="8" t="str">
        <f>IF(E8&gt;H41,$AA$7*0.9*0.9*0.9*5.48%,"")</f>
        <v/>
      </c>
    </row>
    <row r="42" spans="1:18" s="8" customFormat="1" ht="12.75" x14ac:dyDescent="0.2">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#VALUE!</v>
      </c>
      <c r="P42" s="33" t="e">
        <f t="shared" ca="1" si="1"/>
        <v>#VALUE!</v>
      </c>
      <c r="Q42" s="8" t="e">
        <f t="shared" ca="1" si="4"/>
        <v>#VALUE!</v>
      </c>
    </row>
    <row r="43" spans="1:18" s="8" customFormat="1" ht="12.75" x14ac:dyDescent="0.2">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#VALUE!</v>
      </c>
      <c r="P43" s="33" t="e">
        <f t="shared" ca="1" si="1"/>
        <v>#VALUE!</v>
      </c>
      <c r="Q43" s="8" t="e">
        <f t="shared" ca="1" si="4"/>
        <v>#VALUE!</v>
      </c>
    </row>
    <row r="44" spans="1:18" s="8" customFormat="1" ht="12.75" x14ac:dyDescent="0.2">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#VALUE!</v>
      </c>
      <c r="P44" s="33" t="e">
        <f t="shared" ca="1" si="1"/>
        <v>#VALUE!</v>
      </c>
      <c r="Q44" s="8" t="e">
        <f t="shared" ca="1" si="4"/>
        <v>#VALUE!</v>
      </c>
    </row>
    <row r="45" spans="1:18" s="8" customFormat="1" ht="12.75" x14ac:dyDescent="0.2">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#VALUE!</v>
      </c>
      <c r="P45" s="33" t="e">
        <f t="shared" ca="1" si="1"/>
        <v>#VALUE!</v>
      </c>
      <c r="Q45" s="8" t="e">
        <f t="shared" ca="1" si="4"/>
        <v>#VALUE!</v>
      </c>
    </row>
    <row r="46" spans="1:18" s="8" customFormat="1" ht="12.75" x14ac:dyDescent="0.2">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#VALUE!</v>
      </c>
      <c r="P46" s="33" t="e">
        <f t="shared" ca="1" si="1"/>
        <v>#VALUE!</v>
      </c>
      <c r="Q46" s="8" t="e">
        <f t="shared" ca="1" si="4"/>
        <v>#VALUE!</v>
      </c>
    </row>
    <row r="47" spans="1:18" s="8" customFormat="1" ht="12.75" x14ac:dyDescent="0.2">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#VALUE!</v>
      </c>
      <c r="P47" s="33" t="e">
        <f t="shared" ca="1" si="1"/>
        <v>#VALUE!</v>
      </c>
      <c r="Q47" s="8" t="e">
        <f t="shared" ca="1" si="4"/>
        <v>#VALUE!</v>
      </c>
    </row>
    <row r="48" spans="1:18" s="8" customFormat="1" ht="12.75" x14ac:dyDescent="0.2">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#VALUE!</v>
      </c>
      <c r="P48" s="33" t="e">
        <f t="shared" ca="1" si="1"/>
        <v>#VALUE!</v>
      </c>
      <c r="Q48" s="8" t="e">
        <f t="shared" ca="1" si="4"/>
        <v>#VALUE!</v>
      </c>
    </row>
    <row r="49" spans="6:18" s="8" customFormat="1" ht="12.75" x14ac:dyDescent="0.2">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#VALUE!</v>
      </c>
      <c r="P49" s="33" t="e">
        <f t="shared" ca="1" si="1"/>
        <v>#VALUE!</v>
      </c>
      <c r="Q49" s="8" t="e">
        <f t="shared" ca="1" si="4"/>
        <v>#VALUE!</v>
      </c>
    </row>
    <row r="50" spans="6:18" s="8" customFormat="1" ht="12.75" x14ac:dyDescent="0.2">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#VALUE!</v>
      </c>
      <c r="P50" s="33" t="e">
        <f t="shared" ca="1" si="1"/>
        <v>#VALUE!</v>
      </c>
      <c r="Q50" s="8" t="e">
        <f t="shared" ca="1" si="4"/>
        <v>#VALUE!</v>
      </c>
    </row>
    <row r="51" spans="6:18" s="8" customFormat="1" ht="12.75" x14ac:dyDescent="0.2">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#VALUE!</v>
      </c>
      <c r="P51" s="33" t="e">
        <f t="shared" ca="1" si="1"/>
        <v>#VALUE!</v>
      </c>
      <c r="Q51" s="8" t="e">
        <f t="shared" ca="1" si="4"/>
        <v>#VALUE!</v>
      </c>
    </row>
    <row r="52" spans="6:18" s="8" customFormat="1" ht="12.75" x14ac:dyDescent="0.2">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#VALUE!</v>
      </c>
      <c r="P52" s="33" t="e">
        <f t="shared" ca="1" si="1"/>
        <v>#VALUE!</v>
      </c>
      <c r="Q52" s="8" t="e">
        <f t="shared" ca="1" si="4"/>
        <v>#VALUE!</v>
      </c>
    </row>
    <row r="53" spans="6:18" s="8" customFormat="1" ht="12.75" x14ac:dyDescent="0.2">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#VALUE!</v>
      </c>
      <c r="P53" s="33" t="e">
        <f t="shared" ca="1" si="1"/>
        <v>#VALUE!</v>
      </c>
      <c r="Q53" s="8" t="e">
        <f t="shared" ca="1" si="4"/>
        <v>#VALUE!</v>
      </c>
      <c r="R53" s="8" t="str">
        <f>IF(E8&gt;H53,$AA$7*0.9*0.9*0.9*0.9*5.48%,"")</f>
        <v/>
      </c>
    </row>
    <row r="54" spans="6:18" s="8" customFormat="1" ht="12.75" x14ac:dyDescent="0.2">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#VALUE!</v>
      </c>
      <c r="P54" s="33" t="e">
        <f t="shared" ca="1" si="1"/>
        <v>#VALUE!</v>
      </c>
      <c r="Q54" s="8" t="e">
        <f t="shared" ca="1" si="4"/>
        <v>#VALUE!</v>
      </c>
    </row>
    <row r="55" spans="6:18" s="8" customFormat="1" ht="12.75" x14ac:dyDescent="0.2">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#VALUE!</v>
      </c>
      <c r="P55" s="33" t="e">
        <f t="shared" ca="1" si="1"/>
        <v>#VALUE!</v>
      </c>
      <c r="Q55" s="8" t="e">
        <f t="shared" ca="1" si="4"/>
        <v>#VALUE!</v>
      </c>
    </row>
    <row r="56" spans="6:18" s="8" customFormat="1" ht="12.75" x14ac:dyDescent="0.2">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#VALUE!</v>
      </c>
      <c r="P56" s="33" t="e">
        <f t="shared" ca="1" si="1"/>
        <v>#VALUE!</v>
      </c>
      <c r="Q56" s="8" t="e">
        <f t="shared" ca="1" si="4"/>
        <v>#VALUE!</v>
      </c>
    </row>
    <row r="57" spans="6:18" s="8" customFormat="1" ht="12.75" x14ac:dyDescent="0.2">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#VALUE!</v>
      </c>
      <c r="P57" s="33" t="e">
        <f t="shared" ca="1" si="1"/>
        <v>#VALUE!</v>
      </c>
      <c r="Q57" s="8" t="e">
        <f t="shared" ca="1" si="4"/>
        <v>#VALUE!</v>
      </c>
    </row>
    <row r="58" spans="6:18" s="8" customFormat="1" ht="12.75" x14ac:dyDescent="0.2">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#VALUE!</v>
      </c>
      <c r="P58" s="33" t="e">
        <f t="shared" ca="1" si="1"/>
        <v>#VALUE!</v>
      </c>
      <c r="Q58" s="8" t="e">
        <f t="shared" ca="1" si="4"/>
        <v>#VALUE!</v>
      </c>
    </row>
    <row r="59" spans="6:18" s="8" customFormat="1" ht="12.75" x14ac:dyDescent="0.2">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#VALUE!</v>
      </c>
      <c r="P59" s="33" t="e">
        <f t="shared" ca="1" si="1"/>
        <v>#VALUE!</v>
      </c>
      <c r="Q59" s="8" t="e">
        <f t="shared" ca="1" si="4"/>
        <v>#VALUE!</v>
      </c>
    </row>
    <row r="60" spans="6:18" s="8" customFormat="1" ht="12.75" x14ac:dyDescent="0.2">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#VALUE!</v>
      </c>
      <c r="P60" s="33" t="e">
        <f t="shared" ca="1" si="1"/>
        <v>#VALUE!</v>
      </c>
      <c r="Q60" s="8" t="e">
        <f t="shared" ca="1" si="4"/>
        <v>#VALUE!</v>
      </c>
    </row>
    <row r="61" spans="6:18" s="8" customFormat="1" ht="12.75" x14ac:dyDescent="0.2">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#VALUE!</v>
      </c>
      <c r="P61" s="33" t="e">
        <f t="shared" ca="1" si="1"/>
        <v>#VALUE!</v>
      </c>
      <c r="Q61" s="8" t="e">
        <f t="shared" ca="1" si="4"/>
        <v>#VALUE!</v>
      </c>
    </row>
    <row r="62" spans="6:18" s="8" customFormat="1" ht="12.75" x14ac:dyDescent="0.2">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#VALUE!</v>
      </c>
      <c r="P62" s="33" t="e">
        <f t="shared" ca="1" si="1"/>
        <v>#VALUE!</v>
      </c>
      <c r="Q62" s="8" t="e">
        <f t="shared" ca="1" si="4"/>
        <v>#VALUE!</v>
      </c>
    </row>
    <row r="63" spans="6:18" s="8" customFormat="1" ht="12.75" x14ac:dyDescent="0.2">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#VALUE!</v>
      </c>
      <c r="P63" s="33" t="e">
        <f t="shared" ca="1" si="1"/>
        <v>#VALUE!</v>
      </c>
      <c r="Q63" s="8" t="e">
        <f t="shared" ca="1" si="4"/>
        <v>#VALUE!</v>
      </c>
    </row>
    <row r="64" spans="6:18" s="8" customFormat="1" ht="12.75" x14ac:dyDescent="0.2">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#VALUE!</v>
      </c>
      <c r="P64" s="33" t="e">
        <f t="shared" ca="1" si="1"/>
        <v>#VALUE!</v>
      </c>
      <c r="Q64" s="8" t="e">
        <f t="shared" ca="1" si="4"/>
        <v>#VALUE!</v>
      </c>
    </row>
    <row r="65" spans="6:18" s="8" customFormat="1" ht="12.75" x14ac:dyDescent="0.2">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#VALUE!</v>
      </c>
      <c r="P65" s="33" t="e">
        <f t="shared" ca="1" si="1"/>
        <v>#VALUE!</v>
      </c>
      <c r="Q65" s="8" t="e">
        <f t="shared" ca="1" si="4"/>
        <v>#VALUE!</v>
      </c>
      <c r="R65" s="8" t="str">
        <f>IF(E8&gt;H65,$AA$7*0.9*0.9*0.9*0.9*0.9*5.48%,"")</f>
        <v/>
      </c>
    </row>
    <row r="66" spans="6:18" s="8" customFormat="1" ht="12.75" x14ac:dyDescent="0.2">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2.75" x14ac:dyDescent="0.2">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2.75" x14ac:dyDescent="0.2">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2.75" x14ac:dyDescent="0.2">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2.75" x14ac:dyDescent="0.2">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2.75" x14ac:dyDescent="0.2">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2.75" x14ac:dyDescent="0.2">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2.75" x14ac:dyDescent="0.2">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2.75" x14ac:dyDescent="0.2">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2.75" x14ac:dyDescent="0.2">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2.75" x14ac:dyDescent="0.2">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2.75" x14ac:dyDescent="0.2">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2.75" x14ac:dyDescent="0.2">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2.75" x14ac:dyDescent="0.2">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2.75" x14ac:dyDescent="0.2">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2.75" x14ac:dyDescent="0.2">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2.75" x14ac:dyDescent="0.2">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2.75" x14ac:dyDescent="0.2">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2.75" x14ac:dyDescent="0.2">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2.75" x14ac:dyDescent="0.2">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2.75" x14ac:dyDescent="0.2">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2.75" x14ac:dyDescent="0.2">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2.75" x14ac:dyDescent="0.2">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2.75" x14ac:dyDescent="0.2">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59" priority="8">
      <formula>LEN(TRIM(B16))=0</formula>
    </cfRule>
  </conditionalFormatting>
  <conditionalFormatting sqref="F5:F248 G6:G248">
    <cfRule type="expression" dxfId="58" priority="19" stopIfTrue="1">
      <formula>IF($G5="Всього:",TRUE,FALSE)</formula>
    </cfRule>
    <cfRule type="expression" dxfId="57" priority="20" stopIfTrue="1">
      <formula>IF($G4="Всього:",TRUE,FALSE)</formula>
    </cfRule>
    <cfRule type="expression" dxfId="56" priority="21" stopIfTrue="1">
      <formula>IF(IF($I$5=0,$H5&gt;$E$3+2,$H5&gt;$E$3+1),TRUE,FALSE)</formula>
    </cfRule>
  </conditionalFormatting>
  <conditionalFormatting sqref="H5:H248">
    <cfRule type="expression" dxfId="55" priority="22" stopIfTrue="1">
      <formula>IF($G5="Всього:",TRUE,FALSE)</formula>
    </cfRule>
    <cfRule type="expression" dxfId="54" priority="23" stopIfTrue="1">
      <formula>IF($G4="Всього:",TRUE,FALSE)</formula>
    </cfRule>
    <cfRule type="expression" dxfId="53" priority="24" stopIfTrue="1">
      <formula>IF(IF($I$5=0,$H5&gt;$E$3+2,$H5&gt;$E$3+1),TRUE,FALSE)</formula>
    </cfRule>
  </conditionalFormatting>
  <conditionalFormatting sqref="I5:I248">
    <cfRule type="expression" dxfId="52" priority="16" stopIfTrue="1">
      <formula>IF($G5="Всього:",TRUE,FALSE)</formula>
    </cfRule>
    <cfRule type="expression" dxfId="51" priority="17" stopIfTrue="1">
      <formula>IF($G4="Всього:",TRUE,FALSE)</formula>
    </cfRule>
    <cfRule type="expression" dxfId="50" priority="18" stopIfTrue="1">
      <formula>IF(IF($J$5=0,$H5&gt;$E$3+2,$H5&gt;$E$3+1),TRUE,FALSE)</formula>
    </cfRule>
  </conditionalFormatting>
  <conditionalFormatting sqref="J5:K5 N5:N248 J6:M248">
    <cfRule type="expression" dxfId="49" priority="10" stopIfTrue="1">
      <formula>IF($G5="Всього:",TRUE,FALSE)</formula>
    </cfRule>
    <cfRule type="expression" dxfId="48" priority="11" stopIfTrue="1">
      <formula>IF($G4="Всього:",TRUE,FALSE)</formula>
    </cfRule>
    <cfRule type="expression" dxfId="47" priority="12" stopIfTrue="1">
      <formula>IF(IF($J$5=0,$H5&gt;$E$3+2,$H5&gt;$E$3+1),TRUE,FALSE)</formula>
    </cfRule>
  </conditionalFormatting>
  <conditionalFormatting sqref="L5">
    <cfRule type="expression" dxfId="46" priority="9" stopIfTrue="1">
      <formula>IF($G4="Всього:",TRUE,FALSE)</formula>
    </cfRule>
  </conditionalFormatting>
  <conditionalFormatting sqref="O6:O248">
    <cfRule type="expression" dxfId="45" priority="13" stopIfTrue="1">
      <formula>IF($G6="Всього:",TRUE,FALSE)</formula>
    </cfRule>
    <cfRule type="expression" dxfId="44" priority="14" stopIfTrue="1">
      <formula>IF($G5="Всього:",TRUE,FALSE)</formula>
    </cfRule>
    <cfRule type="expression" dxfId="43"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B1754"/>
  <sheetViews>
    <sheetView tabSelected="1" topLeftCell="A12" zoomScale="90" zoomScaleNormal="90" zoomScaleSheetLayoutView="80" zoomScalePageLayoutView="70" workbookViewId="0">
      <selection activeCell="D31" sqref="D31"/>
    </sheetView>
  </sheetViews>
  <sheetFormatPr defaultColWidth="9.28515625" defaultRowHeight="15" x14ac:dyDescent="0.25"/>
  <cols>
    <col min="1" max="1" width="0.5703125" style="46" customWidth="1"/>
    <col min="2" max="2" width="3.28515625" style="41" customWidth="1"/>
    <col min="3" max="3" width="6.5703125" style="41" customWidth="1"/>
    <col min="4" max="4" width="22.5703125" style="41" customWidth="1"/>
    <col min="5" max="5" width="8.7109375" style="41" customWidth="1"/>
    <col min="6" max="6" width="16.42578125" style="41" customWidth="1"/>
    <col min="7" max="7" width="6.42578125" style="41" customWidth="1"/>
    <col min="8" max="8" width="12.5703125" style="47" customWidth="1"/>
    <col min="9" max="9" width="2.42578125" style="48" hidden="1" customWidth="1"/>
    <col min="10" max="10" width="4" style="3" hidden="1" customWidth="1"/>
    <col min="11" max="11" width="2" style="41" hidden="1" customWidth="1"/>
    <col min="12" max="12" width="20.5703125" style="41" customWidth="1"/>
    <col min="13" max="13" width="32.285156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5703125" style="62" hidden="1" customWidth="1"/>
    <col min="29" max="30" width="9.28515625" style="62" hidden="1" customWidth="1"/>
    <col min="31" max="31" width="13.42578125" style="62" hidden="1" customWidth="1"/>
    <col min="32" max="36" width="9.28515625" style="62" hidden="1" customWidth="1"/>
    <col min="37" max="37" width="14.5703125" style="62" hidden="1" customWidth="1"/>
    <col min="38" max="39" width="9.28515625" style="62" hidden="1" customWidth="1"/>
    <col min="40" max="40" width="12.570312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4" width="9.28515625" style="41" hidden="1" customWidth="1"/>
    <col min="55" max="77" width="9.28515625" style="41" customWidth="1"/>
    <col min="78" max="16384" width="9.28515625" style="41"/>
  </cols>
  <sheetData>
    <row r="1" spans="1:50" ht="141" customHeight="1" thickBot="1" x14ac:dyDescent="0.3">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row>
    <row r="2" spans="1:50" ht="46.35" customHeight="1" thickBot="1" x14ac:dyDescent="0.35">
      <c r="A2" s="43"/>
      <c r="B2" s="254" t="s">
        <v>224</v>
      </c>
      <c r="C2" s="255"/>
      <c r="D2" s="255"/>
      <c r="E2" s="256" t="s">
        <v>525</v>
      </c>
      <c r="F2" s="257"/>
      <c r="G2" s="170"/>
      <c r="H2" s="170"/>
      <c r="I2" s="170"/>
      <c r="J2" s="171"/>
      <c r="K2" s="172"/>
      <c r="L2" s="258" t="s">
        <v>226</v>
      </c>
      <c r="M2" s="259"/>
      <c r="N2" s="208">
        <f>IF(R9&gt;0.8,"Не достатня сума авансу",Q47)</f>
        <v>800000</v>
      </c>
      <c r="O2" s="213" t="s">
        <v>227</v>
      </c>
      <c r="P2" s="63">
        <f>IF(N7="ні",N6,0)</f>
        <v>23920.000000000004</v>
      </c>
      <c r="R2" s="70">
        <v>12</v>
      </c>
      <c r="S2" s="67"/>
      <c r="T2" s="71"/>
      <c r="U2" s="72" t="s">
        <v>228</v>
      </c>
      <c r="V2" s="71"/>
      <c r="W2" s="73">
        <f>IF(AND(V3=1,W3=1),2,0)</f>
        <v>2</v>
      </c>
      <c r="X2" s="169">
        <f>IF(OR(E4=0,AND(F8=0,F10=0),E12=0),1,0)</f>
        <v>0</v>
      </c>
      <c r="Y2" s="67"/>
      <c r="Z2" s="199" t="s">
        <v>229</v>
      </c>
      <c r="AA2" s="198" t="s">
        <v>230</v>
      </c>
      <c r="AC2" s="260" t="s">
        <v>231</v>
      </c>
      <c r="AD2" s="261"/>
      <c r="AE2" s="261"/>
      <c r="AF2" s="261"/>
      <c r="AG2" s="261"/>
      <c r="AH2" s="261"/>
      <c r="AI2" s="261"/>
      <c r="AJ2" s="262"/>
      <c r="AL2" s="282" t="s">
        <v>231</v>
      </c>
      <c r="AM2" s="283"/>
      <c r="AN2" s="283"/>
      <c r="AO2" s="283"/>
      <c r="AP2" s="283"/>
      <c r="AQ2" s="283"/>
      <c r="AR2" s="283"/>
      <c r="AS2" s="283"/>
      <c r="AT2" s="284"/>
      <c r="AV2" s="75"/>
      <c r="AW2" s="63">
        <f>IF(E12=R8,N8+AW16+AW28+AW40+AW52+AW64+AW76,IF(E12=R7,N8+AW16+AW28+AW40+AW52+AW64,IF(E12=R6,N8+AW16+AW28+AW40+AW52,IF(E12=R5,N8+AW16+AW28+AW40,IF(E12=R4,N8+AW16+AW28,IF(E12=R3,N8+AW16,IF(E12=R2,N8)))))))</f>
        <v>158950</v>
      </c>
      <c r="AX2" s="63" t="e">
        <f>IF(E12=R8,#REF!+AX16+AX28+AX40+AX52+AX64+AX76,IF(E12=R7,#REF!+AX16+AX28+AX40+AX52+AX64,IF(E12=R6,#REF!+AX16+AX28+AX40+AX52,IF(E12=R5,#REF!+AX16+AX28+AX40,IF(E12=R4,#REF!+AX16+AX28,IF(E12=R3,#REF!+AX16,IF(E12=R2,#REF!)))))))</f>
        <v>#REF!</v>
      </c>
    </row>
    <row r="3" spans="1:50" ht="8.1" customHeight="1" thickBot="1" x14ac:dyDescent="0.35">
      <c r="A3" s="50"/>
      <c r="B3" s="173"/>
      <c r="C3" s="173"/>
      <c r="D3" s="173"/>
      <c r="E3" s="173"/>
      <c r="F3" s="173"/>
      <c r="G3" s="170"/>
      <c r="H3" s="173"/>
      <c r="I3" s="173"/>
      <c r="J3" s="173"/>
      <c r="K3" s="173"/>
      <c r="L3" s="173"/>
      <c r="M3" s="173"/>
      <c r="N3" s="173"/>
      <c r="R3" s="70">
        <v>24</v>
      </c>
      <c r="S3" s="76"/>
      <c r="T3" s="73" t="b">
        <v>0</v>
      </c>
      <c r="U3" s="77" t="s">
        <v>232</v>
      </c>
      <c r="V3" s="73">
        <f>IF(E2="",0,1)</f>
        <v>1</v>
      </c>
      <c r="W3" s="73">
        <f>IF(E4="",0,1)</f>
        <v>1</v>
      </c>
      <c r="X3" s="73">
        <f>IF(AND(F8=0,F10=0),0,IF(AND(F8&gt;0,F10=""),1,IF(AND(F8=0,F10&gt;0),2,3)))</f>
        <v>1</v>
      </c>
      <c r="Y3" s="67"/>
      <c r="Z3" s="133">
        <f>Z16+Z28+Z40+Z52+Z64+Z76</f>
        <v>110979</v>
      </c>
      <c r="AA3" s="196">
        <f>-N2+R36+R37+R38+R39+R40</f>
        <v>-677846.66666666663</v>
      </c>
      <c r="AB3" s="195">
        <f ca="1">V19</f>
        <v>46118</v>
      </c>
      <c r="AC3" s="285" t="s">
        <v>182</v>
      </c>
      <c r="AD3" s="286"/>
      <c r="AE3" s="79" t="s">
        <v>233</v>
      </c>
      <c r="AF3" s="79" t="s">
        <v>234</v>
      </c>
      <c r="AG3" s="287" t="s">
        <v>235</v>
      </c>
      <c r="AH3" s="288"/>
      <c r="AI3" s="287" t="s">
        <v>236</v>
      </c>
      <c r="AJ3" s="288"/>
      <c r="AK3" s="80" t="s">
        <v>237</v>
      </c>
      <c r="AL3" s="285" t="s">
        <v>182</v>
      </c>
      <c r="AM3" s="286"/>
      <c r="AN3" s="79" t="s">
        <v>233</v>
      </c>
      <c r="AO3" s="79" t="s">
        <v>234</v>
      </c>
      <c r="AP3" s="287" t="s">
        <v>235</v>
      </c>
      <c r="AQ3" s="288"/>
      <c r="AR3" s="287" t="s">
        <v>236</v>
      </c>
      <c r="AS3" s="288"/>
      <c r="AT3" s="79" t="s">
        <v>188</v>
      </c>
      <c r="AU3" s="81" t="e">
        <f>-N2+N8+#REF!+N12+N6+#REF!</f>
        <v>#REF!</v>
      </c>
    </row>
    <row r="4" spans="1:50" ht="30" customHeight="1" thickBot="1" x14ac:dyDescent="0.35">
      <c r="A4" s="42"/>
      <c r="B4" s="254" t="s">
        <v>238</v>
      </c>
      <c r="C4" s="255"/>
      <c r="D4" s="275"/>
      <c r="E4" s="267">
        <v>1000000</v>
      </c>
      <c r="F4" s="268"/>
      <c r="G4" s="170"/>
      <c r="H4" s="174"/>
      <c r="I4" s="174"/>
      <c r="K4" s="207"/>
      <c r="L4" s="278" t="s">
        <v>239</v>
      </c>
      <c r="M4" s="279"/>
      <c r="N4" s="176">
        <f>IF(X4=1,F8/E4,IF(X4=2,E4/100*F10,""))</f>
        <v>0.2</v>
      </c>
      <c r="O4" s="213" t="s">
        <v>240</v>
      </c>
      <c r="P4" s="63">
        <f>IF(N9="ні",N8,0)</f>
        <v>64900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1</v>
      </c>
      <c r="W4" s="73">
        <f>IF(F10="",0,1)</f>
        <v>0</v>
      </c>
      <c r="X4" s="73">
        <f>IF(AND(V4=1,W4=0),1,IF(AND(W4=1,V4=0),2,IF(AND(V4=1,W4=1),3,IF(AND(V4=0,W4=0),4))))</f>
        <v>1</v>
      </c>
      <c r="AA4" s="196">
        <f>AI4</f>
        <v>25551.632304308987</v>
      </c>
      <c r="AB4" s="185">
        <f ca="1">IF(AND(DAY(V19)&lt;=15,$V$20&gt;DAY(V19)),DATE(YEAR(V19),MONTH(V19),IF($V$20&lt;&gt;"",DAY(IF($V$20&gt;DAY(EOMONTH(V19,0)),EOMONTH(V19,0),$V$20)),DAY(1))),DATE(YEAR(V19),MONTH(V19)+1,IF($V$20&lt;&gt;"",DAY(IF($V$20&gt;DAY(EOMONTH(V19,1)),EOMONTH(V19,1),$V$20)),DAY(1))))</f>
        <v>46148</v>
      </c>
      <c r="AC4" s="271">
        <v>1</v>
      </c>
      <c r="AD4" s="272"/>
      <c r="AE4" s="83">
        <f>IF($U$2=$X$17,PPMT($E$14/1200,AC4,$E$12,-$N$2))</f>
        <v>19351.632304308987</v>
      </c>
      <c r="AF4" s="84"/>
      <c r="AG4" s="273">
        <f>IF($AE$4=0,$N$2*($E$14/100)*(AB4-$V$19+1)/360,IPMT($E$14/1200,AC4,$E$12,-$N$2))</f>
        <v>6200.0000000000009</v>
      </c>
      <c r="AH4" s="274"/>
      <c r="AI4" s="265">
        <f>AG4+AE4</f>
        <v>25551.632304308987</v>
      </c>
      <c r="AJ4" s="266"/>
      <c r="AK4" s="85">
        <f ca="1">DATE(YEAR($V$19),MONTH($V$19)+1,DAY(1)-1)</f>
        <v>46142</v>
      </c>
      <c r="AL4" s="271">
        <v>1</v>
      </c>
      <c r="AM4" s="272"/>
      <c r="AN4" s="86">
        <f ca="1">IF($V$20&gt;15,0,$N$2/$E$12)</f>
        <v>22222.222222222223</v>
      </c>
      <c r="AO4" s="87"/>
      <c r="AP4" s="289">
        <f ca="1">IF(AN4=0,$N$2*($E$14/100)*(AK4-$V$19+1)/360,$N$2*$E$14/100*31/360)</f>
        <v>6406.6666666666679</v>
      </c>
      <c r="AQ4" s="290"/>
      <c r="AR4" s="291">
        <f ca="1">AP4</f>
        <v>6406.6666666666679</v>
      </c>
      <c r="AS4" s="292"/>
      <c r="AT4" s="87"/>
      <c r="AU4" s="75">
        <f>AI4</f>
        <v>25551.632304308987</v>
      </c>
    </row>
    <row r="5" spans="1:50" ht="7.35" customHeight="1" thickBot="1" x14ac:dyDescent="0.35">
      <c r="A5" s="48"/>
      <c r="B5" s="174"/>
      <c r="C5" s="174"/>
      <c r="D5" s="174"/>
      <c r="E5" s="174"/>
      <c r="F5" s="174"/>
      <c r="G5" s="170"/>
      <c r="H5" s="174"/>
      <c r="I5" s="174"/>
      <c r="J5" s="174"/>
      <c r="K5" s="174"/>
      <c r="L5" s="174"/>
      <c r="M5" s="174"/>
      <c r="N5" s="174"/>
      <c r="R5" s="88">
        <v>48</v>
      </c>
      <c r="T5" s="71"/>
      <c r="V5" s="71"/>
      <c r="W5" s="78"/>
      <c r="X5" s="71"/>
      <c r="Y5" s="67"/>
      <c r="AA5" s="196">
        <f t="shared" ref="AA5:AA68" si="0">AI5</f>
        <v>25551.632304308991</v>
      </c>
      <c r="AB5" s="185">
        <f ca="1">IF(AC5&gt;$V$26,"-",IF($V$26=AC5,$V$25,DATE(YEAR(AB4),MONTH(AB4)+1,IF($V$20&lt;&gt;"",DAY(IF($V$20&gt;DAY(EOMONTH(AB4,1)),EOMONTH(AB4,1),$V$20)),DAY(1)))))</f>
        <v>46179</v>
      </c>
      <c r="AC5" s="235">
        <v>2</v>
      </c>
      <c r="AD5" s="236"/>
      <c r="AE5" s="83">
        <f>IF(AC5&gt;$V$26,"-",IF($AE$4=0,PPMT($E$14/1200,AC4,$E$12,-$N$2),PPMT($E$14/1200,AC5,$E$12,-$N$2)))</f>
        <v>19501.607454667384</v>
      </c>
      <c r="AF5" s="84"/>
      <c r="AG5" s="241">
        <f>IF(AC5&gt;$V$26,"-",IF($AE$4=0,IPMT($E$14/1200,AC4,$E$12,-$N$2),IPMT($E$14/1200,AC5,$E$12,-$N$2)))</f>
        <v>6050.0248496416061</v>
      </c>
      <c r="AH5" s="242"/>
      <c r="AI5" s="243">
        <f>IF(AC5&gt;$V$26,"-",AG5+AE5)</f>
        <v>25551.632304308991</v>
      </c>
      <c r="AJ5" s="244"/>
      <c r="AK5" s="85">
        <f t="shared" ref="AK5:AK68" ca="1" si="1">IF(AL5="","",DATE(YEAR(AK4),MONTH(AK4)+2,DAY(1)-1))</f>
        <v>46173</v>
      </c>
      <c r="AL5" s="235">
        <v>2</v>
      </c>
      <c r="AM5" s="236"/>
      <c r="AN5" s="86">
        <f t="shared" ref="AN5:AN68" si="2">$N$2/$E$12</f>
        <v>22222.222222222223</v>
      </c>
      <c r="AO5" s="87"/>
      <c r="AP5" s="237">
        <f t="shared" ref="AP5:AP68" ca="1" si="3">AT5*$E$14/100*(AK5-AK4)/360</f>
        <v>6228.7037037037044</v>
      </c>
      <c r="AQ5" s="238"/>
      <c r="AR5" s="239">
        <f t="shared" ref="AR5:AR68" ca="1" si="4">AN5+AP5</f>
        <v>28450.925925925927</v>
      </c>
      <c r="AS5" s="240"/>
      <c r="AT5" s="87">
        <f ca="1">$N$2-AN4</f>
        <v>777777.77777777775</v>
      </c>
      <c r="AU5" s="75">
        <f t="shared" ref="AU5:AU68" si="5">AI5</f>
        <v>25551.632304308991</v>
      </c>
    </row>
    <row r="6" spans="1:50" ht="23.1" customHeight="1" thickBot="1" x14ac:dyDescent="0.35">
      <c r="A6" s="48"/>
      <c r="B6" s="254" t="s">
        <v>241</v>
      </c>
      <c r="C6" s="255"/>
      <c r="D6" s="275"/>
      <c r="E6" s="276" t="s">
        <v>16</v>
      </c>
      <c r="F6" s="277"/>
      <c r="G6" s="170"/>
      <c r="H6" s="174"/>
      <c r="I6" s="170"/>
      <c r="J6" s="171"/>
      <c r="K6" s="172"/>
      <c r="L6" s="269" t="s">
        <v>213</v>
      </c>
      <c r="M6" s="270"/>
      <c r="N6" s="211">
        <f>R37</f>
        <v>23920.000000000004</v>
      </c>
      <c r="O6" s="213" t="s">
        <v>227</v>
      </c>
      <c r="R6" s="89">
        <v>60</v>
      </c>
      <c r="T6" s="71"/>
      <c r="W6" s="78"/>
      <c r="X6" s="71"/>
      <c r="Y6" s="67"/>
      <c r="AA6" s="196">
        <f t="shared" si="0"/>
        <v>25551.632304308987</v>
      </c>
      <c r="AB6" s="185">
        <f t="shared" ref="AB6:AB69" ca="1" si="6">IF(AC6&gt;$V$26,"-",IF($V$26=AC6,$V$25,DATE(YEAR(AB5),MONTH(AB5)+1,IF($V$20&lt;&gt;"",DAY(IF($V$20&gt;DAY(EOMONTH(AB5,1)),EOMONTH(AB5,1),$V$20)),DAY(1)))))</f>
        <v>46209</v>
      </c>
      <c r="AC6" s="235">
        <v>3</v>
      </c>
      <c r="AD6" s="236"/>
      <c r="AE6" s="83">
        <f t="shared" ref="AE6:AE69" si="7">IF(AC6&gt;$V$26,"-",IF($AE$4=0,PPMT($E$14/1200,AC5,$E$12,-$N$2),PPMT($E$14/1200,AC6,$E$12,-$N$2)))</f>
        <v>19652.744912441056</v>
      </c>
      <c r="AF6" s="84"/>
      <c r="AG6" s="241">
        <f t="shared" ref="AG6:AG69" si="8">IF(AC6&gt;$V$26,"-",IF($AE$4=0,IPMT($E$14/1200,AC5,$E$12,-$N$2),IPMT($E$14/1200,AC6,$E$12,-$N$2)))</f>
        <v>5898.8873918679328</v>
      </c>
      <c r="AH6" s="242"/>
      <c r="AI6" s="243">
        <f t="shared" ref="AI6:AI69" si="9">IF(AC6&gt;$V$26,"-",AG6+AE6)</f>
        <v>25551.632304308987</v>
      </c>
      <c r="AJ6" s="244"/>
      <c r="AK6" s="85">
        <f t="shared" ca="1" si="1"/>
        <v>46203</v>
      </c>
      <c r="AL6" s="235">
        <v>3</v>
      </c>
      <c r="AM6" s="236"/>
      <c r="AN6" s="86">
        <f t="shared" si="2"/>
        <v>22222.222222222223</v>
      </c>
      <c r="AO6" s="87"/>
      <c r="AP6" s="237">
        <f t="shared" ca="1" si="3"/>
        <v>5855.5555555555557</v>
      </c>
      <c r="AQ6" s="238"/>
      <c r="AR6" s="239">
        <f t="shared" ca="1" si="4"/>
        <v>28077.777777777777</v>
      </c>
      <c r="AS6" s="240"/>
      <c r="AT6" s="87">
        <f t="shared" ref="AT6:AT69" ca="1" si="10">AT5-AN5</f>
        <v>755555.5555555555</v>
      </c>
      <c r="AU6" s="75">
        <f t="shared" si="5"/>
        <v>25551.632304308987</v>
      </c>
    </row>
    <row r="7" spans="1:50" ht="21.6" customHeight="1" thickBot="1" x14ac:dyDescent="0.35">
      <c r="A7" s="48"/>
      <c r="B7" s="174"/>
      <c r="C7" s="174"/>
      <c r="D7" s="174"/>
      <c r="E7" s="174"/>
      <c r="F7" s="174"/>
      <c r="G7" s="170"/>
      <c r="H7" s="170"/>
      <c r="I7" s="170"/>
      <c r="J7" s="170"/>
      <c r="K7" s="170"/>
      <c r="L7" s="280" t="s">
        <v>242</v>
      </c>
      <c r="M7" s="281"/>
      <c r="N7" s="212" t="s">
        <v>243</v>
      </c>
      <c r="R7" s="70">
        <v>72</v>
      </c>
      <c r="T7" s="90"/>
      <c r="U7" s="90"/>
      <c r="V7" s="90"/>
      <c r="X7" s="71"/>
      <c r="Y7" s="67"/>
      <c r="AA7" s="196">
        <f t="shared" si="0"/>
        <v>25551.632304308987</v>
      </c>
      <c r="AB7" s="185">
        <f t="shared" ca="1" si="6"/>
        <v>46240</v>
      </c>
      <c r="AC7" s="235">
        <v>4</v>
      </c>
      <c r="AD7" s="236"/>
      <c r="AE7" s="83">
        <f t="shared" si="7"/>
        <v>19805.05368551247</v>
      </c>
      <c r="AF7" s="84"/>
      <c r="AG7" s="241">
        <f t="shared" si="8"/>
        <v>5746.5786187965159</v>
      </c>
      <c r="AH7" s="242"/>
      <c r="AI7" s="243">
        <f t="shared" si="9"/>
        <v>25551.632304308987</v>
      </c>
      <c r="AJ7" s="244"/>
      <c r="AK7" s="85">
        <f t="shared" ca="1" si="1"/>
        <v>46234</v>
      </c>
      <c r="AL7" s="235">
        <v>4</v>
      </c>
      <c r="AM7" s="236"/>
      <c r="AN7" s="86">
        <f t="shared" si="2"/>
        <v>22222.222222222223</v>
      </c>
      <c r="AO7" s="87"/>
      <c r="AP7" s="237">
        <f t="shared" ca="1" si="3"/>
        <v>5872.7777777777774</v>
      </c>
      <c r="AQ7" s="238"/>
      <c r="AR7" s="239">
        <f t="shared" ca="1" si="4"/>
        <v>28095</v>
      </c>
      <c r="AS7" s="240"/>
      <c r="AT7" s="87">
        <f t="shared" ca="1" si="10"/>
        <v>733333.33333333326</v>
      </c>
      <c r="AU7" s="75">
        <f t="shared" si="5"/>
        <v>25551.632304308987</v>
      </c>
    </row>
    <row r="8" spans="1:50" ht="25.35" customHeight="1" thickBot="1" x14ac:dyDescent="0.35">
      <c r="A8" s="48"/>
      <c r="B8" s="327" t="s">
        <v>244</v>
      </c>
      <c r="C8" s="328"/>
      <c r="D8" s="329"/>
      <c r="E8" s="175" t="s">
        <v>245</v>
      </c>
      <c r="F8" s="214">
        <v>200000</v>
      </c>
      <c r="G8" s="170"/>
      <c r="H8" s="170"/>
      <c r="I8" s="170"/>
      <c r="J8" s="171"/>
      <c r="K8" s="172"/>
      <c r="L8" s="263" t="s">
        <v>246</v>
      </c>
      <c r="M8" s="264"/>
      <c r="N8" s="211">
        <f>R38</f>
        <v>64900</v>
      </c>
      <c r="R8" s="91">
        <v>84</v>
      </c>
      <c r="AA8" s="196">
        <f t="shared" si="0"/>
        <v>25551.632304308991</v>
      </c>
      <c r="AB8" s="185">
        <f t="shared" ca="1" si="6"/>
        <v>46271</v>
      </c>
      <c r="AC8" s="235">
        <v>5</v>
      </c>
      <c r="AD8" s="236"/>
      <c r="AE8" s="83">
        <f t="shared" si="7"/>
        <v>19958.542851575196</v>
      </c>
      <c r="AF8" s="84"/>
      <c r="AG8" s="241">
        <f t="shared" si="8"/>
        <v>5593.0894527337941</v>
      </c>
      <c r="AH8" s="242"/>
      <c r="AI8" s="243">
        <f t="shared" si="9"/>
        <v>25551.632304308991</v>
      </c>
      <c r="AJ8" s="244"/>
      <c r="AK8" s="85">
        <f t="shared" ca="1" si="1"/>
        <v>46265</v>
      </c>
      <c r="AL8" s="235">
        <v>5</v>
      </c>
      <c r="AM8" s="236"/>
      <c r="AN8" s="86">
        <f t="shared" si="2"/>
        <v>22222.222222222223</v>
      </c>
      <c r="AO8" s="87"/>
      <c r="AP8" s="237">
        <f t="shared" ca="1" si="3"/>
        <v>5694.8148148148148</v>
      </c>
      <c r="AQ8" s="238"/>
      <c r="AR8" s="239">
        <f t="shared" ca="1" si="4"/>
        <v>27917.037037037036</v>
      </c>
      <c r="AS8" s="240"/>
      <c r="AT8" s="87">
        <f t="shared" ca="1" si="10"/>
        <v>711111.11111111101</v>
      </c>
      <c r="AU8" s="75">
        <f t="shared" si="5"/>
        <v>25551.632304308991</v>
      </c>
    </row>
    <row r="9" spans="1:50" ht="40.5" customHeight="1" thickBot="1" x14ac:dyDescent="0.35">
      <c r="A9" s="48"/>
      <c r="B9" s="330"/>
      <c r="C9" s="331"/>
      <c r="D9" s="332"/>
      <c r="E9" s="325" t="s">
        <v>247</v>
      </c>
      <c r="F9" s="326"/>
      <c r="G9" s="174"/>
      <c r="H9" s="174"/>
      <c r="I9" s="174"/>
      <c r="J9" s="174"/>
      <c r="K9" s="174"/>
      <c r="L9" s="323" t="s">
        <v>248</v>
      </c>
      <c r="M9" s="324"/>
      <c r="N9" s="212" t="s">
        <v>243</v>
      </c>
      <c r="O9" s="62"/>
      <c r="Q9" s="62" t="s">
        <v>103</v>
      </c>
      <c r="R9" s="62">
        <f>R16/E4</f>
        <v>0.8</v>
      </c>
      <c r="U9" s="209" t="s">
        <v>514</v>
      </c>
      <c r="V9" s="148">
        <f>E4-V14+V10+V12</f>
        <v>800000</v>
      </c>
      <c r="AA9" s="196">
        <f t="shared" si="0"/>
        <v>25551.632304308991</v>
      </c>
      <c r="AB9" s="185">
        <f t="shared" ca="1" si="6"/>
        <v>46301</v>
      </c>
      <c r="AC9" s="235">
        <v>6</v>
      </c>
      <c r="AD9" s="236"/>
      <c r="AE9" s="83">
        <f t="shared" si="7"/>
        <v>20113.221558674904</v>
      </c>
      <c r="AF9" s="84"/>
      <c r="AG9" s="241">
        <f t="shared" si="8"/>
        <v>5438.4107456340862</v>
      </c>
      <c r="AH9" s="242"/>
      <c r="AI9" s="243">
        <f t="shared" si="9"/>
        <v>25551.632304308991</v>
      </c>
      <c r="AJ9" s="244"/>
      <c r="AK9" s="85">
        <f t="shared" ca="1" si="1"/>
        <v>46295</v>
      </c>
      <c r="AL9" s="235">
        <v>6</v>
      </c>
      <c r="AM9" s="236"/>
      <c r="AN9" s="86">
        <f t="shared" si="2"/>
        <v>22222.222222222223</v>
      </c>
      <c r="AO9" s="87"/>
      <c r="AP9" s="237">
        <f t="shared" ca="1" si="3"/>
        <v>5338.8888888888887</v>
      </c>
      <c r="AQ9" s="238"/>
      <c r="AR9" s="239">
        <f t="shared" ca="1" si="4"/>
        <v>27561.111111111109</v>
      </c>
      <c r="AS9" s="240"/>
      <c r="AT9" s="87">
        <f t="shared" ca="1" si="10"/>
        <v>688888.88888888876</v>
      </c>
      <c r="AU9" s="75">
        <f t="shared" si="5"/>
        <v>25551.632304308991</v>
      </c>
    </row>
    <row r="10" spans="1:50" ht="22.35" customHeight="1" thickBot="1" x14ac:dyDescent="0.35">
      <c r="A10" s="48"/>
      <c r="B10" s="333"/>
      <c r="C10" s="334"/>
      <c r="D10" s="335"/>
      <c r="E10" s="175" t="s">
        <v>191</v>
      </c>
      <c r="F10" s="177"/>
      <c r="G10" s="170"/>
      <c r="H10" s="174"/>
      <c r="I10" s="174"/>
      <c r="J10" s="174"/>
      <c r="K10" s="174"/>
      <c r="L10" s="337" t="s">
        <v>250</v>
      </c>
      <c r="M10" s="338"/>
      <c r="N10" s="339">
        <f>Z3</f>
        <v>110979</v>
      </c>
      <c r="O10" s="62"/>
      <c r="U10" s="62" t="s">
        <v>229</v>
      </c>
      <c r="V10" s="62">
        <f>IF(N9="так",N8,0)</f>
        <v>0</v>
      </c>
      <c r="AA10" s="196">
        <f t="shared" si="0"/>
        <v>25551.632304308987</v>
      </c>
      <c r="AB10" s="185">
        <f t="shared" ca="1" si="6"/>
        <v>46332</v>
      </c>
      <c r="AC10" s="235">
        <v>7</v>
      </c>
      <c r="AD10" s="236"/>
      <c r="AE10" s="83">
        <f t="shared" si="7"/>
        <v>20269.099025754633</v>
      </c>
      <c r="AF10" s="84"/>
      <c r="AG10" s="241">
        <f t="shared" si="8"/>
        <v>5282.5332785543551</v>
      </c>
      <c r="AH10" s="242"/>
      <c r="AI10" s="243">
        <f t="shared" si="9"/>
        <v>25551.632304308987</v>
      </c>
      <c r="AJ10" s="244"/>
      <c r="AK10" s="85">
        <f t="shared" ca="1" si="1"/>
        <v>46326</v>
      </c>
      <c r="AL10" s="235">
        <v>7</v>
      </c>
      <c r="AM10" s="236"/>
      <c r="AN10" s="86">
        <f t="shared" si="2"/>
        <v>22222.222222222223</v>
      </c>
      <c r="AO10" s="87"/>
      <c r="AP10" s="237">
        <f t="shared" ca="1" si="3"/>
        <v>5338.8888888888887</v>
      </c>
      <c r="AQ10" s="238"/>
      <c r="AR10" s="239">
        <f t="shared" ca="1" si="4"/>
        <v>27561.111111111109</v>
      </c>
      <c r="AS10" s="240"/>
      <c r="AT10" s="87">
        <f t="shared" ca="1" si="10"/>
        <v>666666.66666666651</v>
      </c>
      <c r="AU10" s="75">
        <f t="shared" si="5"/>
        <v>25551.632304308987</v>
      </c>
    </row>
    <row r="11" spans="1:50" ht="9" customHeight="1" thickBot="1" x14ac:dyDescent="0.35">
      <c r="A11" s="48"/>
      <c r="B11" s="173"/>
      <c r="C11" s="173"/>
      <c r="D11" s="173"/>
      <c r="E11" s="170"/>
      <c r="F11" s="170"/>
      <c r="G11" s="170"/>
      <c r="H11" s="174"/>
      <c r="I11" s="174"/>
      <c r="J11" s="174"/>
      <c r="K11" s="174"/>
      <c r="L11" s="310"/>
      <c r="M11" s="312"/>
      <c r="N11" s="253"/>
      <c r="O11" s="62"/>
      <c r="R11" s="92" t="s">
        <v>251</v>
      </c>
      <c r="S11" s="93"/>
      <c r="AA11" s="196">
        <f t="shared" si="0"/>
        <v>25551.632304308987</v>
      </c>
      <c r="AB11" s="185">
        <f t="shared" ca="1" si="6"/>
        <v>46362</v>
      </c>
      <c r="AC11" s="235">
        <v>8</v>
      </c>
      <c r="AD11" s="236"/>
      <c r="AE11" s="83">
        <f t="shared" si="7"/>
        <v>20426.184543204232</v>
      </c>
      <c r="AF11" s="84"/>
      <c r="AG11" s="241">
        <f t="shared" si="8"/>
        <v>5125.447761104756</v>
      </c>
      <c r="AH11" s="242"/>
      <c r="AI11" s="243">
        <f t="shared" si="9"/>
        <v>25551.632304308987</v>
      </c>
      <c r="AJ11" s="244"/>
      <c r="AK11" s="85">
        <f t="shared" ca="1" si="1"/>
        <v>46356</v>
      </c>
      <c r="AL11" s="235">
        <v>8</v>
      </c>
      <c r="AM11" s="236"/>
      <c r="AN11" s="86">
        <f t="shared" si="2"/>
        <v>22222.222222222223</v>
      </c>
      <c r="AO11" s="87"/>
      <c r="AP11" s="237">
        <f t="shared" ca="1" si="3"/>
        <v>4994.4444444444434</v>
      </c>
      <c r="AQ11" s="238"/>
      <c r="AR11" s="239">
        <f t="shared" ca="1" si="4"/>
        <v>27216.666666666664</v>
      </c>
      <c r="AS11" s="240"/>
      <c r="AT11" s="87">
        <f t="shared" ca="1" si="10"/>
        <v>644444.44444444426</v>
      </c>
      <c r="AU11" s="75">
        <f t="shared" si="5"/>
        <v>25551.632304308987</v>
      </c>
    </row>
    <row r="12" spans="1:50" ht="18" thickBot="1" x14ac:dyDescent="0.35">
      <c r="A12" s="48"/>
      <c r="B12" s="278" t="s">
        <v>252</v>
      </c>
      <c r="C12" s="293"/>
      <c r="D12" s="293"/>
      <c r="E12" s="294">
        <v>36</v>
      </c>
      <c r="F12" s="295"/>
      <c r="G12" s="173"/>
      <c r="H12" s="173"/>
      <c r="I12" s="173"/>
      <c r="J12" s="173"/>
      <c r="K12" s="173"/>
      <c r="L12" s="173"/>
      <c r="M12" s="173"/>
      <c r="N12" s="173"/>
      <c r="O12" s="62"/>
      <c r="Q12" s="94"/>
      <c r="R12" s="95">
        <v>0</v>
      </c>
      <c r="S12" s="94"/>
      <c r="T12" s="94"/>
      <c r="U12" s="94" t="s">
        <v>515</v>
      </c>
      <c r="V12" s="62">
        <v>0</v>
      </c>
      <c r="AA12" s="196">
        <f t="shared" si="0"/>
        <v>25551.632304308987</v>
      </c>
      <c r="AB12" s="185">
        <f t="shared" ca="1" si="6"/>
        <v>46393</v>
      </c>
      <c r="AC12" s="235">
        <v>9</v>
      </c>
      <c r="AD12" s="236"/>
      <c r="AE12" s="83">
        <f t="shared" si="7"/>
        <v>20584.487473414065</v>
      </c>
      <c r="AF12" s="84"/>
      <c r="AG12" s="241">
        <f t="shared" si="8"/>
        <v>4967.144830894923</v>
      </c>
      <c r="AH12" s="242"/>
      <c r="AI12" s="243">
        <f t="shared" si="9"/>
        <v>25551.632304308987</v>
      </c>
      <c r="AJ12" s="244"/>
      <c r="AK12" s="85">
        <f t="shared" ca="1" si="1"/>
        <v>46387</v>
      </c>
      <c r="AL12" s="235">
        <v>9</v>
      </c>
      <c r="AM12" s="236"/>
      <c r="AN12" s="86">
        <f t="shared" si="2"/>
        <v>22222.222222222223</v>
      </c>
      <c r="AO12" s="87"/>
      <c r="AP12" s="237">
        <f t="shared" ca="1" si="3"/>
        <v>4982.9629629629617</v>
      </c>
      <c r="AQ12" s="238"/>
      <c r="AR12" s="239">
        <f t="shared" ca="1" si="4"/>
        <v>27205.185185185182</v>
      </c>
      <c r="AS12" s="240"/>
      <c r="AT12" s="87">
        <f t="shared" ca="1" si="10"/>
        <v>622222.22222222202</v>
      </c>
      <c r="AU12" s="75">
        <f t="shared" si="5"/>
        <v>25551.632304308987</v>
      </c>
    </row>
    <row r="13" spans="1:50" ht="11.1" customHeight="1" thickBot="1" x14ac:dyDescent="0.35">
      <c r="A13" s="48"/>
      <c r="B13" s="173"/>
      <c r="C13" s="173"/>
      <c r="D13" s="173"/>
      <c r="E13" s="170"/>
      <c r="F13" s="170"/>
      <c r="G13" s="170"/>
      <c r="H13" s="170"/>
      <c r="I13" s="170"/>
      <c r="J13" s="170"/>
      <c r="K13" s="170"/>
      <c r="L13" s="297" t="s">
        <v>253</v>
      </c>
      <c r="M13" s="298"/>
      <c r="N13" s="252">
        <f>AG88</f>
        <v>119858.76295512365</v>
      </c>
      <c r="O13" s="148">
        <f>N18-N21</f>
        <v>799999.99999999977</v>
      </c>
      <c r="Q13" s="96"/>
      <c r="R13" s="97">
        <f>IF(R12=0,0%,5.99%)</f>
        <v>0</v>
      </c>
      <c r="S13" s="96"/>
      <c r="T13" s="96"/>
      <c r="U13" s="96"/>
      <c r="AA13" s="196">
        <f t="shared" si="0"/>
        <v>25551.632304308991</v>
      </c>
      <c r="AB13" s="185">
        <f t="shared" ca="1" si="6"/>
        <v>46424</v>
      </c>
      <c r="AC13" s="235">
        <v>10</v>
      </c>
      <c r="AD13" s="236"/>
      <c r="AE13" s="83">
        <f t="shared" si="7"/>
        <v>20744.017251333025</v>
      </c>
      <c r="AF13" s="84"/>
      <c r="AG13" s="241">
        <f t="shared" si="8"/>
        <v>4807.6150529759652</v>
      </c>
      <c r="AH13" s="242"/>
      <c r="AI13" s="243">
        <f t="shared" si="9"/>
        <v>25551.632304308991</v>
      </c>
      <c r="AJ13" s="244"/>
      <c r="AK13" s="85">
        <f t="shared" ca="1" si="1"/>
        <v>46418</v>
      </c>
      <c r="AL13" s="235">
        <v>10</v>
      </c>
      <c r="AM13" s="236"/>
      <c r="AN13" s="86">
        <f t="shared" si="2"/>
        <v>22222.222222222223</v>
      </c>
      <c r="AO13" s="87"/>
      <c r="AP13" s="237">
        <f t="shared" ca="1" si="3"/>
        <v>4804.9999999999982</v>
      </c>
      <c r="AQ13" s="238"/>
      <c r="AR13" s="239">
        <f t="shared" ca="1" si="4"/>
        <v>27027.222222222219</v>
      </c>
      <c r="AS13" s="240"/>
      <c r="AT13" s="87">
        <f t="shared" ca="1" si="10"/>
        <v>599999.99999999977</v>
      </c>
      <c r="AU13" s="75">
        <f t="shared" si="5"/>
        <v>25551.632304308991</v>
      </c>
    </row>
    <row r="14" spans="1:50" ht="19.5" customHeight="1" thickBot="1" x14ac:dyDescent="0.35">
      <c r="A14" s="48"/>
      <c r="B14" s="278" t="s">
        <v>254</v>
      </c>
      <c r="C14" s="293"/>
      <c r="D14" s="279"/>
      <c r="E14" s="317">
        <f>IF(R33=0,"",R33)</f>
        <v>9.3000000000000007</v>
      </c>
      <c r="F14" s="318"/>
      <c r="G14" s="170"/>
      <c r="H14" s="170"/>
      <c r="I14" s="170"/>
      <c r="J14" s="170"/>
      <c r="K14" s="170"/>
      <c r="L14" s="299"/>
      <c r="M14" s="300"/>
      <c r="N14" s="253"/>
      <c r="O14" s="98"/>
      <c r="R14" s="62" t="s">
        <v>172</v>
      </c>
      <c r="U14" s="62" t="s">
        <v>244</v>
      </c>
      <c r="V14" s="62">
        <f>IF(F8&gt;0,F8,N4)</f>
        <v>200000</v>
      </c>
      <c r="X14" s="99" t="s">
        <v>255</v>
      </c>
      <c r="AA14" s="196">
        <f t="shared" si="0"/>
        <v>25551.632304308987</v>
      </c>
      <c r="AB14" s="185">
        <f t="shared" ca="1" si="6"/>
        <v>46452</v>
      </c>
      <c r="AC14" s="235">
        <v>11</v>
      </c>
      <c r="AD14" s="236"/>
      <c r="AE14" s="83">
        <f t="shared" si="7"/>
        <v>20904.783385030853</v>
      </c>
      <c r="AF14" s="84"/>
      <c r="AG14" s="241">
        <f t="shared" si="8"/>
        <v>4646.8489192781344</v>
      </c>
      <c r="AH14" s="242"/>
      <c r="AI14" s="243">
        <f t="shared" si="9"/>
        <v>25551.632304308987</v>
      </c>
      <c r="AJ14" s="244"/>
      <c r="AK14" s="85">
        <f t="shared" ca="1" si="1"/>
        <v>46446</v>
      </c>
      <c r="AL14" s="235">
        <v>11</v>
      </c>
      <c r="AM14" s="236"/>
      <c r="AN14" s="86">
        <f t="shared" si="2"/>
        <v>22222.222222222223</v>
      </c>
      <c r="AO14" s="87"/>
      <c r="AP14" s="237">
        <f t="shared" ca="1" si="3"/>
        <v>4179.2592592592573</v>
      </c>
      <c r="AQ14" s="238"/>
      <c r="AR14" s="239">
        <f t="shared" ca="1" si="4"/>
        <v>26401.481481481482</v>
      </c>
      <c r="AS14" s="240"/>
      <c r="AT14" s="87">
        <f t="shared" ca="1" si="10"/>
        <v>577777.77777777752</v>
      </c>
      <c r="AU14" s="75">
        <f t="shared" si="5"/>
        <v>25551.632304308987</v>
      </c>
    </row>
    <row r="15" spans="1:50" ht="6.6" customHeight="1" thickBot="1" x14ac:dyDescent="0.35">
      <c r="A15" s="48"/>
      <c r="B15" s="173"/>
      <c r="C15" s="173"/>
      <c r="D15" s="173"/>
      <c r="E15" s="170"/>
      <c r="F15" s="170"/>
      <c r="G15" s="170"/>
      <c r="H15" s="170"/>
      <c r="I15" s="170"/>
      <c r="J15" s="171"/>
      <c r="K15" s="172"/>
      <c r="L15" s="173"/>
      <c r="M15" s="173"/>
      <c r="O15" s="62"/>
      <c r="Q15" s="62" t="s">
        <v>256</v>
      </c>
      <c r="R15" s="100">
        <f>$E$4-IF($X$4=1,$F$8,IF($X$4=2,$E$4/100*$F$10,0))+$N$8</f>
        <v>864900</v>
      </c>
      <c r="S15" s="62" t="s">
        <v>257</v>
      </c>
      <c r="X15" s="101" t="s">
        <v>16</v>
      </c>
      <c r="AA15" s="196">
        <f>IFERROR(AI15+Z16,"-")</f>
        <v>83961.632304308994</v>
      </c>
      <c r="AB15" s="185">
        <f t="shared" ca="1" si="6"/>
        <v>46483</v>
      </c>
      <c r="AC15" s="235">
        <v>12</v>
      </c>
      <c r="AD15" s="236"/>
      <c r="AE15" s="83">
        <f t="shared" si="7"/>
        <v>21066.795456264845</v>
      </c>
      <c r="AF15" s="84"/>
      <c r="AG15" s="241">
        <f t="shared" si="8"/>
        <v>4484.8368480441459</v>
      </c>
      <c r="AH15" s="242"/>
      <c r="AI15" s="243">
        <f t="shared" si="9"/>
        <v>25551.632304308991</v>
      </c>
      <c r="AJ15" s="244"/>
      <c r="AK15" s="85">
        <f t="shared" ca="1" si="1"/>
        <v>46477</v>
      </c>
      <c r="AL15" s="235">
        <v>12</v>
      </c>
      <c r="AM15" s="236"/>
      <c r="AN15" s="86">
        <f t="shared" si="2"/>
        <v>22222.222222222223</v>
      </c>
      <c r="AO15" s="87"/>
      <c r="AP15" s="237">
        <f t="shared" ca="1" si="3"/>
        <v>4449.0740740740721</v>
      </c>
      <c r="AQ15" s="238"/>
      <c r="AR15" s="239">
        <f t="shared" ca="1" si="4"/>
        <v>26671.296296296296</v>
      </c>
      <c r="AS15" s="240"/>
      <c r="AT15" s="87">
        <f t="shared" ca="1" si="10"/>
        <v>555555.55555555527</v>
      </c>
      <c r="AU15" s="75">
        <f t="shared" si="5"/>
        <v>25551.632304308991</v>
      </c>
    </row>
    <row r="16" spans="1:50" ht="48" customHeight="1" thickBot="1" x14ac:dyDescent="0.35">
      <c r="A16" s="42"/>
      <c r="B16" s="307" t="s">
        <v>258</v>
      </c>
      <c r="C16" s="308"/>
      <c r="D16" s="309"/>
      <c r="E16" s="313">
        <f>R35</f>
        <v>25551.632304308994</v>
      </c>
      <c r="F16" s="314"/>
      <c r="G16" s="170"/>
      <c r="H16" s="170"/>
      <c r="I16" s="170"/>
      <c r="J16" s="170"/>
      <c r="K16" s="170"/>
      <c r="L16" s="278" t="s">
        <v>259</v>
      </c>
      <c r="M16" s="293"/>
      <c r="N16" s="176">
        <f>R39</f>
        <v>33333.333333333336</v>
      </c>
      <c r="Q16" s="209" t="s">
        <v>260</v>
      </c>
      <c r="R16" s="102">
        <f>$E$4-IF($X$4=1,$F$8,IF($X$4=2,$E$4/100*$F$10,0))+IF(N7="так",N6,0)+IF(N9="так",N8,0)</f>
        <v>800000</v>
      </c>
      <c r="S16" s="210">
        <f>$E$4-IF($X$4=1,$F$8,IF($X$4=2,$E$4/100*$F$10,0))+T16</f>
        <v>800000</v>
      </c>
      <c r="T16" s="62">
        <f>IF(N9="так",N8,0)</f>
        <v>0</v>
      </c>
      <c r="Z16" s="116">
        <f>IF($V$26&gt;AC16,$E$4*0.9*T33,0)</f>
        <v>58410</v>
      </c>
      <c r="AA16" s="196">
        <f t="shared" si="0"/>
        <v>25551.632304308991</v>
      </c>
      <c r="AB16" s="185">
        <f t="shared" ca="1" si="6"/>
        <v>46513</v>
      </c>
      <c r="AC16" s="235">
        <v>13</v>
      </c>
      <c r="AD16" s="236"/>
      <c r="AE16" s="83">
        <f t="shared" si="7"/>
        <v>21230.063121050898</v>
      </c>
      <c r="AF16" s="84"/>
      <c r="AG16" s="241">
        <f t="shared" si="8"/>
        <v>4321.5691832580924</v>
      </c>
      <c r="AH16" s="242"/>
      <c r="AI16" s="243">
        <f t="shared" si="9"/>
        <v>25551.632304308991</v>
      </c>
      <c r="AJ16" s="244"/>
      <c r="AK16" s="85">
        <f t="shared" ca="1" si="1"/>
        <v>46507</v>
      </c>
      <c r="AL16" s="235">
        <v>13</v>
      </c>
      <c r="AM16" s="236"/>
      <c r="AN16" s="86">
        <f t="shared" si="2"/>
        <v>22222.222222222223</v>
      </c>
      <c r="AO16" s="87"/>
      <c r="AP16" s="237">
        <f t="shared" ca="1" si="3"/>
        <v>4133.3333333333303</v>
      </c>
      <c r="AQ16" s="238"/>
      <c r="AR16" s="239">
        <f t="shared" ca="1" si="4"/>
        <v>26355.555555555555</v>
      </c>
      <c r="AS16" s="240"/>
      <c r="AT16" s="87">
        <f t="shared" ca="1" si="10"/>
        <v>533333.33333333302</v>
      </c>
      <c r="AU16" s="75" t="e">
        <f>AI16+AW16+AX16</f>
        <v>#REF!</v>
      </c>
      <c r="AW16" s="63">
        <f>IF($E$12&gt;$R$2,$E$4*0.9*5.5%,"")</f>
        <v>49500</v>
      </c>
      <c r="AX16" s="103" t="e">
        <f>IF(#REF!=0,0,IF($E$12&gt;$R$2,(AE90-SUM(AE4:AE15))*0.0299,""))</f>
        <v>#REF!</v>
      </c>
    </row>
    <row r="17" spans="1:50" ht="6" customHeight="1" thickBot="1" x14ac:dyDescent="0.35">
      <c r="A17" s="42"/>
      <c r="B17" s="310"/>
      <c r="C17" s="311"/>
      <c r="D17" s="312"/>
      <c r="E17" s="315"/>
      <c r="F17" s="316"/>
      <c r="G17" s="170"/>
      <c r="H17" s="170"/>
      <c r="I17" s="170"/>
      <c r="J17" s="170"/>
      <c r="K17" s="170"/>
      <c r="L17" s="170"/>
      <c r="M17" s="170"/>
      <c r="N17" s="170"/>
      <c r="O17" s="62"/>
      <c r="X17" s="104" t="s">
        <v>228</v>
      </c>
      <c r="AA17" s="196">
        <f t="shared" si="0"/>
        <v>25551.632304308991</v>
      </c>
      <c r="AB17" s="185">
        <f t="shared" ca="1" si="6"/>
        <v>46544</v>
      </c>
      <c r="AC17" s="235">
        <v>14</v>
      </c>
      <c r="AD17" s="236"/>
      <c r="AE17" s="83">
        <f t="shared" si="7"/>
        <v>21394.596110239043</v>
      </c>
      <c r="AF17" s="84"/>
      <c r="AG17" s="241">
        <f t="shared" si="8"/>
        <v>4157.0361940699477</v>
      </c>
      <c r="AH17" s="242"/>
      <c r="AI17" s="243">
        <f t="shared" si="9"/>
        <v>25551.632304308991</v>
      </c>
      <c r="AJ17" s="244"/>
      <c r="AK17" s="85">
        <f t="shared" ca="1" si="1"/>
        <v>46538</v>
      </c>
      <c r="AL17" s="235">
        <v>14</v>
      </c>
      <c r="AM17" s="236"/>
      <c r="AN17" s="86">
        <f t="shared" si="2"/>
        <v>22222.222222222223</v>
      </c>
      <c r="AO17" s="87"/>
      <c r="AP17" s="237">
        <f t="shared" ca="1" si="3"/>
        <v>4093.1481481481455</v>
      </c>
      <c r="AQ17" s="238"/>
      <c r="AR17" s="239">
        <f t="shared" ca="1" si="4"/>
        <v>26315.370370370369</v>
      </c>
      <c r="AS17" s="240"/>
      <c r="AT17" s="87">
        <f t="shared" ca="1" si="10"/>
        <v>511111.11111111077</v>
      </c>
      <c r="AU17" s="75">
        <f t="shared" si="5"/>
        <v>25551.632304308991</v>
      </c>
    </row>
    <row r="18" spans="1:50" ht="8.25" customHeight="1" thickBot="1" x14ac:dyDescent="0.35">
      <c r="A18" s="48"/>
      <c r="B18" s="173"/>
      <c r="C18" s="173"/>
      <c r="D18" s="173"/>
      <c r="E18" s="170"/>
      <c r="F18" s="170"/>
      <c r="G18" s="170"/>
      <c r="H18" s="170"/>
      <c r="I18" s="170"/>
      <c r="J18" s="170"/>
      <c r="K18" s="170"/>
      <c r="L18" s="301" t="s">
        <v>261</v>
      </c>
      <c r="M18" s="302"/>
      <c r="N18" s="250">
        <f>AE88+N21</f>
        <v>1152991.0962884568</v>
      </c>
      <c r="O18" s="62"/>
      <c r="U18" s="105"/>
      <c r="V18" s="105"/>
      <c r="X18" s="106" t="e">
        <f>IF(OR(#REF!=S28,#REF!=S31),"Класична","")</f>
        <v>#REF!</v>
      </c>
      <c r="AA18" s="196">
        <f t="shared" si="0"/>
        <v>25551.632304308994</v>
      </c>
      <c r="AB18" s="185">
        <f t="shared" ca="1" si="6"/>
        <v>46574</v>
      </c>
      <c r="AC18" s="235">
        <v>15</v>
      </c>
      <c r="AD18" s="236"/>
      <c r="AE18" s="83">
        <f t="shared" si="7"/>
        <v>21560.404230093398</v>
      </c>
      <c r="AF18" s="84"/>
      <c r="AG18" s="241">
        <f t="shared" si="8"/>
        <v>3991.2280742155954</v>
      </c>
      <c r="AH18" s="242"/>
      <c r="AI18" s="243">
        <f t="shared" si="9"/>
        <v>25551.632304308994</v>
      </c>
      <c r="AJ18" s="244"/>
      <c r="AK18" s="85">
        <f t="shared" ca="1" si="1"/>
        <v>46568</v>
      </c>
      <c r="AL18" s="235">
        <v>15</v>
      </c>
      <c r="AM18" s="236"/>
      <c r="AN18" s="86">
        <f t="shared" si="2"/>
        <v>22222.222222222223</v>
      </c>
      <c r="AO18" s="87"/>
      <c r="AP18" s="237">
        <f t="shared" ca="1" si="3"/>
        <v>3788.8888888888864</v>
      </c>
      <c r="AQ18" s="238"/>
      <c r="AR18" s="239">
        <f t="shared" ca="1" si="4"/>
        <v>26011.111111111109</v>
      </c>
      <c r="AS18" s="240"/>
      <c r="AT18" s="87">
        <f t="shared" ca="1" si="10"/>
        <v>488888.88888888853</v>
      </c>
      <c r="AU18" s="75">
        <f t="shared" si="5"/>
        <v>25551.632304308994</v>
      </c>
    </row>
    <row r="19" spans="1:50" ht="52.35" customHeight="1" thickBot="1" x14ac:dyDescent="0.35">
      <c r="A19" s="45"/>
      <c r="B19" s="245" t="s">
        <v>262</v>
      </c>
      <c r="C19" s="246"/>
      <c r="D19" s="247"/>
      <c r="E19" s="248">
        <f ca="1">IF(OR(F10&gt;80,AND(F8&gt;0,N4&gt;80%,X4&lt;&gt;3)),"Для уточнення інформації звертайтесь на відділення",R41)</f>
        <v>0.33920091986656187</v>
      </c>
      <c r="F19" s="249"/>
      <c r="G19" s="170"/>
      <c r="H19" s="170"/>
      <c r="I19" s="170"/>
      <c r="J19" s="170"/>
      <c r="K19" s="170"/>
      <c r="L19" s="303"/>
      <c r="M19" s="304"/>
      <c r="N19" s="251"/>
      <c r="O19" s="62"/>
      <c r="R19" s="67" t="s">
        <v>263</v>
      </c>
      <c r="T19" s="107"/>
      <c r="U19" s="62" t="s">
        <v>264</v>
      </c>
      <c r="V19" s="108">
        <f ca="1">TODAY()</f>
        <v>46118</v>
      </c>
      <c r="X19" s="109">
        <v>1</v>
      </c>
      <c r="Y19" s="92">
        <v>31</v>
      </c>
      <c r="AA19" s="196">
        <f t="shared" si="0"/>
        <v>25551.632304308987</v>
      </c>
      <c r="AB19" s="185">
        <f t="shared" ca="1" si="6"/>
        <v>46605</v>
      </c>
      <c r="AC19" s="235">
        <v>16</v>
      </c>
      <c r="AD19" s="236"/>
      <c r="AE19" s="83">
        <f t="shared" si="7"/>
        <v>21727.497362876617</v>
      </c>
      <c r="AF19" s="84"/>
      <c r="AG19" s="241">
        <f t="shared" si="8"/>
        <v>3824.1349414323718</v>
      </c>
      <c r="AH19" s="242"/>
      <c r="AI19" s="243">
        <f t="shared" si="9"/>
        <v>25551.632304308987</v>
      </c>
      <c r="AJ19" s="244"/>
      <c r="AK19" s="85">
        <f t="shared" ca="1" si="1"/>
        <v>46599</v>
      </c>
      <c r="AL19" s="235">
        <v>16</v>
      </c>
      <c r="AM19" s="236"/>
      <c r="AN19" s="86">
        <f t="shared" si="2"/>
        <v>22222.222222222223</v>
      </c>
      <c r="AO19" s="87"/>
      <c r="AP19" s="237">
        <f t="shared" ca="1" si="3"/>
        <v>3737.222222222219</v>
      </c>
      <c r="AQ19" s="238"/>
      <c r="AR19" s="239">
        <f t="shared" ca="1" si="4"/>
        <v>25959.444444444442</v>
      </c>
      <c r="AS19" s="240"/>
      <c r="AT19" s="87">
        <f t="shared" ca="1" si="10"/>
        <v>466666.66666666628</v>
      </c>
      <c r="AU19" s="75">
        <f t="shared" si="5"/>
        <v>25551.632304308987</v>
      </c>
    </row>
    <row r="20" spans="1:50" ht="10.3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6</v>
      </c>
      <c r="X20" s="92">
        <v>2</v>
      </c>
      <c r="Y20" s="92">
        <v>28</v>
      </c>
      <c r="AA20" s="196">
        <f t="shared" si="0"/>
        <v>25551.632304308991</v>
      </c>
      <c r="AB20" s="185">
        <f t="shared" ca="1" si="6"/>
        <v>46636</v>
      </c>
      <c r="AC20" s="235">
        <v>17</v>
      </c>
      <c r="AD20" s="236"/>
      <c r="AE20" s="83">
        <f t="shared" si="7"/>
        <v>21895.885467438911</v>
      </c>
      <c r="AF20" s="84"/>
      <c r="AG20" s="241">
        <f t="shared" si="8"/>
        <v>3655.7468368700779</v>
      </c>
      <c r="AH20" s="242"/>
      <c r="AI20" s="243">
        <f t="shared" si="9"/>
        <v>25551.632304308991</v>
      </c>
      <c r="AJ20" s="244"/>
      <c r="AK20" s="85">
        <f t="shared" ca="1" si="1"/>
        <v>46630</v>
      </c>
      <c r="AL20" s="235">
        <v>17</v>
      </c>
      <c r="AM20" s="236"/>
      <c r="AN20" s="86">
        <f t="shared" si="2"/>
        <v>22222.222222222223</v>
      </c>
      <c r="AO20" s="87"/>
      <c r="AP20" s="237">
        <f t="shared" ca="1" si="3"/>
        <v>3559.2592592592564</v>
      </c>
      <c r="AQ20" s="238"/>
      <c r="AR20" s="239">
        <f t="shared" ca="1" si="4"/>
        <v>25781.481481481478</v>
      </c>
      <c r="AS20" s="240"/>
      <c r="AT20" s="87">
        <f t="shared" ca="1" si="10"/>
        <v>444444.44444444403</v>
      </c>
      <c r="AU20" s="75">
        <f t="shared" si="5"/>
        <v>25551.632304308991</v>
      </c>
    </row>
    <row r="21" spans="1:50" ht="33" customHeight="1" thickBot="1" x14ac:dyDescent="0.3">
      <c r="A21" s="147"/>
      <c r="B21" s="245" t="s">
        <v>266</v>
      </c>
      <c r="C21" s="246"/>
      <c r="D21" s="247"/>
      <c r="E21" s="321">
        <f>IF(X4=2,N4,F8)+P2+P4+N16</f>
        <v>322153.33333333331</v>
      </c>
      <c r="F21" s="322"/>
      <c r="G21" s="118"/>
      <c r="H21" s="118"/>
      <c r="I21" s="118"/>
      <c r="J21" s="118"/>
      <c r="K21" s="118"/>
      <c r="L21" s="305" t="s">
        <v>267</v>
      </c>
      <c r="M21" s="306"/>
      <c r="N21" s="203">
        <f>N13+SUM(R36:R40)+Z3</f>
        <v>352991.09628845699</v>
      </c>
      <c r="O21" s="62"/>
      <c r="U21" s="114" t="s">
        <v>237</v>
      </c>
      <c r="V21" s="115">
        <f ca="1">MONTH(V19)</f>
        <v>4</v>
      </c>
      <c r="X21" s="92">
        <v>3</v>
      </c>
      <c r="Y21" s="92">
        <v>31</v>
      </c>
      <c r="AA21" s="196">
        <f t="shared" si="0"/>
        <v>25551.632304308987</v>
      </c>
      <c r="AB21" s="185">
        <f t="shared" ca="1" si="6"/>
        <v>46666</v>
      </c>
      <c r="AC21" s="235">
        <v>18</v>
      </c>
      <c r="AD21" s="236"/>
      <c r="AE21" s="83">
        <f t="shared" si="7"/>
        <v>22065.578579811561</v>
      </c>
      <c r="AF21" s="84"/>
      <c r="AG21" s="241">
        <f t="shared" si="8"/>
        <v>3486.0537244974266</v>
      </c>
      <c r="AH21" s="242"/>
      <c r="AI21" s="243">
        <f t="shared" si="9"/>
        <v>25551.632304308987</v>
      </c>
      <c r="AJ21" s="244"/>
      <c r="AK21" s="85">
        <f t="shared" ca="1" si="1"/>
        <v>46660</v>
      </c>
      <c r="AL21" s="235">
        <v>18</v>
      </c>
      <c r="AM21" s="236"/>
      <c r="AN21" s="86">
        <f t="shared" si="2"/>
        <v>22222.222222222223</v>
      </c>
      <c r="AO21" s="87"/>
      <c r="AP21" s="237">
        <f t="shared" ca="1" si="3"/>
        <v>3272.222222222219</v>
      </c>
      <c r="AQ21" s="238"/>
      <c r="AR21" s="239">
        <f t="shared" ca="1" si="4"/>
        <v>25494.444444444442</v>
      </c>
      <c r="AS21" s="240"/>
      <c r="AT21" s="87">
        <f t="shared" ca="1" si="10"/>
        <v>422222.22222222178</v>
      </c>
      <c r="AU21" s="75">
        <f t="shared" si="5"/>
        <v>25551.632304308987</v>
      </c>
    </row>
    <row r="22" spans="1:50" ht="50.25" customHeight="1" thickBot="1" x14ac:dyDescent="0.3">
      <c r="A22" s="61"/>
      <c r="B22" s="336" t="s">
        <v>526</v>
      </c>
      <c r="C22" s="336"/>
      <c r="D22" s="336"/>
      <c r="E22" s="336"/>
      <c r="F22" s="336"/>
      <c r="G22" s="336"/>
      <c r="H22" s="336"/>
      <c r="I22" s="336"/>
      <c r="J22" s="336"/>
      <c r="K22" s="336"/>
      <c r="L22" s="336"/>
      <c r="M22" s="336"/>
      <c r="N22" s="336"/>
      <c r="O22" s="62"/>
      <c r="U22" s="116" t="s">
        <v>268</v>
      </c>
      <c r="V22" s="117">
        <v>1200000</v>
      </c>
      <c r="X22" s="92">
        <v>4</v>
      </c>
      <c r="Y22" s="92">
        <v>30</v>
      </c>
      <c r="AA22" s="196">
        <f t="shared" si="0"/>
        <v>25551.632304308991</v>
      </c>
      <c r="AB22" s="185">
        <f t="shared" ca="1" si="6"/>
        <v>46697</v>
      </c>
      <c r="AC22" s="235">
        <v>19</v>
      </c>
      <c r="AD22" s="236"/>
      <c r="AE22" s="83">
        <f t="shared" si="7"/>
        <v>22236.586813805105</v>
      </c>
      <c r="AF22" s="84"/>
      <c r="AG22" s="241">
        <f t="shared" si="8"/>
        <v>3315.045490503886</v>
      </c>
      <c r="AH22" s="242"/>
      <c r="AI22" s="243">
        <f t="shared" si="9"/>
        <v>25551.632304308991</v>
      </c>
      <c r="AJ22" s="244"/>
      <c r="AK22" s="85">
        <f t="shared" ca="1" si="1"/>
        <v>46691</v>
      </c>
      <c r="AL22" s="235">
        <v>19</v>
      </c>
      <c r="AM22" s="236"/>
      <c r="AN22" s="86">
        <f t="shared" si="2"/>
        <v>22222.222222222223</v>
      </c>
      <c r="AO22" s="87"/>
      <c r="AP22" s="237">
        <f t="shared" ca="1" si="3"/>
        <v>3203.3333333333294</v>
      </c>
      <c r="AQ22" s="238"/>
      <c r="AR22" s="239">
        <f t="shared" ca="1" si="4"/>
        <v>25425.555555555551</v>
      </c>
      <c r="AS22" s="240"/>
      <c r="AT22" s="87">
        <f t="shared" ca="1" si="10"/>
        <v>399999.99999999953</v>
      </c>
      <c r="AU22" s="75">
        <f t="shared" si="5"/>
        <v>25551.632304308991</v>
      </c>
    </row>
    <row r="23" spans="1:50" ht="14.1" customHeight="1" thickBot="1" x14ac:dyDescent="0.3">
      <c r="A23" s="43"/>
      <c r="B23" s="320" t="s">
        <v>182</v>
      </c>
      <c r="C23" s="320"/>
      <c r="D23" s="204" t="s">
        <v>184</v>
      </c>
      <c r="E23" s="319" t="s">
        <v>185</v>
      </c>
      <c r="F23" s="319"/>
      <c r="G23" s="296" t="s">
        <v>269</v>
      </c>
      <c r="H23" s="296"/>
      <c r="I23" s="202"/>
      <c r="J23" s="61"/>
      <c r="K23" s="61"/>
      <c r="L23" s="61"/>
      <c r="M23" s="61"/>
      <c r="N23" s="61"/>
      <c r="O23" s="62"/>
      <c r="U23" s="119" t="s">
        <v>270</v>
      </c>
      <c r="V23" s="120">
        <f>IF(X4=1,F8/E4*100,IF(X4=2,F10,0))</f>
        <v>20</v>
      </c>
      <c r="X23" s="92">
        <v>5</v>
      </c>
      <c r="Y23" s="92">
        <v>31</v>
      </c>
      <c r="AA23" s="196">
        <f t="shared" si="0"/>
        <v>25551.632304308991</v>
      </c>
      <c r="AB23" s="185">
        <f t="shared" ca="1" si="6"/>
        <v>46727</v>
      </c>
      <c r="AC23" s="235">
        <v>20</v>
      </c>
      <c r="AD23" s="236"/>
      <c r="AE23" s="83">
        <f t="shared" si="7"/>
        <v>22408.920361612094</v>
      </c>
      <c r="AF23" s="84"/>
      <c r="AG23" s="241">
        <f t="shared" si="8"/>
        <v>3142.711942696897</v>
      </c>
      <c r="AH23" s="242"/>
      <c r="AI23" s="243">
        <f t="shared" si="9"/>
        <v>25551.632304308991</v>
      </c>
      <c r="AJ23" s="244"/>
      <c r="AK23" s="85">
        <f t="shared" ca="1" si="1"/>
        <v>46721</v>
      </c>
      <c r="AL23" s="235">
        <v>20</v>
      </c>
      <c r="AM23" s="236"/>
      <c r="AN23" s="86">
        <f t="shared" si="2"/>
        <v>22222.222222222223</v>
      </c>
      <c r="AO23" s="87"/>
      <c r="AP23" s="237">
        <f t="shared" ca="1" si="3"/>
        <v>2927.7777777777737</v>
      </c>
      <c r="AQ23" s="238"/>
      <c r="AR23" s="239">
        <f t="shared" ca="1" si="4"/>
        <v>25149.999999999996</v>
      </c>
      <c r="AS23" s="240"/>
      <c r="AT23" s="87">
        <f t="shared" ca="1" si="10"/>
        <v>377777.77777777729</v>
      </c>
      <c r="AU23" s="75">
        <f t="shared" si="5"/>
        <v>25551.632304308991</v>
      </c>
    </row>
    <row r="24" spans="1:50" ht="14.1" customHeight="1" thickBot="1" x14ac:dyDescent="0.3">
      <c r="A24" s="43"/>
      <c r="B24" s="221">
        <v>1</v>
      </c>
      <c r="C24" s="221"/>
      <c r="D24" s="205">
        <f t="shared" ref="D24:D35" si="11">AE4</f>
        <v>19351.632304308987</v>
      </c>
      <c r="E24" s="222">
        <f t="shared" ref="E24:E35" si="12">AG4</f>
        <v>6200.0000000000009</v>
      </c>
      <c r="F24" s="222"/>
      <c r="G24" s="222">
        <f t="shared" ref="G24:G35" si="13">AI4</f>
        <v>25551.632304308987</v>
      </c>
      <c r="H24" s="222"/>
      <c r="I24" s="202"/>
      <c r="J24" s="61"/>
      <c r="K24" s="61"/>
      <c r="L24" s="61"/>
      <c r="M24" s="61"/>
      <c r="N24" s="61"/>
      <c r="O24" s="62"/>
      <c r="Q24" s="121">
        <f ca="1">TODAY()</f>
        <v>46118</v>
      </c>
      <c r="R24" s="122" t="s">
        <v>264</v>
      </c>
      <c r="S24" s="122" t="s">
        <v>271</v>
      </c>
      <c r="X24" s="92"/>
      <c r="Y24" s="92"/>
      <c r="AA24" s="196">
        <f t="shared" si="0"/>
        <v>25551.632304308991</v>
      </c>
      <c r="AB24" s="185">
        <f t="shared" ca="1" si="6"/>
        <v>46758</v>
      </c>
      <c r="AC24" s="235">
        <v>21</v>
      </c>
      <c r="AD24" s="236"/>
      <c r="AE24" s="83">
        <f t="shared" si="7"/>
        <v>22582.589494414588</v>
      </c>
      <c r="AF24" s="84"/>
      <c r="AG24" s="241">
        <f t="shared" si="8"/>
        <v>2969.0428098944035</v>
      </c>
      <c r="AH24" s="242"/>
      <c r="AI24" s="243">
        <f t="shared" si="9"/>
        <v>25551.632304308991</v>
      </c>
      <c r="AJ24" s="244"/>
      <c r="AK24" s="85">
        <f t="shared" ca="1" si="1"/>
        <v>46752</v>
      </c>
      <c r="AL24" s="235">
        <v>21</v>
      </c>
      <c r="AM24" s="236"/>
      <c r="AN24" s="86">
        <f t="shared" si="2"/>
        <v>22222.222222222223</v>
      </c>
      <c r="AO24" s="87"/>
      <c r="AP24" s="237">
        <f t="shared" ca="1" si="3"/>
        <v>2847.4074074074033</v>
      </c>
      <c r="AQ24" s="238"/>
      <c r="AR24" s="239">
        <f t="shared" ca="1" si="4"/>
        <v>25069.629629629628</v>
      </c>
      <c r="AS24" s="240"/>
      <c r="AT24" s="87">
        <f t="shared" ca="1" si="10"/>
        <v>355555.55555555504</v>
      </c>
      <c r="AU24" s="75">
        <f t="shared" si="5"/>
        <v>25551.632304308991</v>
      </c>
    </row>
    <row r="25" spans="1:50" ht="14.1" customHeight="1" thickBot="1" x14ac:dyDescent="0.3">
      <c r="A25" s="43"/>
      <c r="B25" s="221">
        <v>2</v>
      </c>
      <c r="C25" s="221"/>
      <c r="D25" s="205">
        <f t="shared" si="11"/>
        <v>19501.607454667384</v>
      </c>
      <c r="E25" s="222">
        <f t="shared" si="12"/>
        <v>6050.0248496416061</v>
      </c>
      <c r="F25" s="222"/>
      <c r="G25" s="222">
        <f t="shared" si="13"/>
        <v>25551.632304308991</v>
      </c>
      <c r="H25" s="222"/>
      <c r="I25" s="202"/>
      <c r="J25" s="61"/>
      <c r="K25" s="61"/>
      <c r="L25" s="61"/>
      <c r="M25" s="61"/>
      <c r="N25" s="61"/>
      <c r="O25" s="62"/>
      <c r="Q25" s="122">
        <f ca="1">IF(Q24&lt;R26,S25,IF(Q24&lt;R27,S26,S27))</f>
        <v>2270</v>
      </c>
      <c r="R25" s="121">
        <v>43831</v>
      </c>
      <c r="S25" s="122">
        <v>2102</v>
      </c>
      <c r="T25" s="123"/>
      <c r="U25" s="111" t="s">
        <v>272</v>
      </c>
      <c r="V25" s="108">
        <f ca="1">EDATE(V19,V26)-1</f>
        <v>47213</v>
      </c>
      <c r="W25" s="124"/>
      <c r="X25" s="92">
        <v>6</v>
      </c>
      <c r="Y25" s="92">
        <v>30</v>
      </c>
      <c r="AA25" s="196">
        <f t="shared" si="0"/>
        <v>25551.632304308991</v>
      </c>
      <c r="AB25" s="185">
        <f t="shared" ca="1" si="6"/>
        <v>46789</v>
      </c>
      <c r="AC25" s="235">
        <v>22</v>
      </c>
      <c r="AD25" s="236"/>
      <c r="AE25" s="83">
        <f t="shared" si="7"/>
        <v>22757.604562996301</v>
      </c>
      <c r="AF25" s="84"/>
      <c r="AG25" s="241">
        <f t="shared" si="8"/>
        <v>2794.0277413126905</v>
      </c>
      <c r="AH25" s="242"/>
      <c r="AI25" s="243">
        <f t="shared" si="9"/>
        <v>25551.632304308991</v>
      </c>
      <c r="AJ25" s="244"/>
      <c r="AK25" s="85">
        <f t="shared" ca="1" si="1"/>
        <v>46783</v>
      </c>
      <c r="AL25" s="235">
        <v>22</v>
      </c>
      <c r="AM25" s="236"/>
      <c r="AN25" s="86">
        <f t="shared" si="2"/>
        <v>22222.222222222223</v>
      </c>
      <c r="AO25" s="87"/>
      <c r="AP25" s="237">
        <f t="shared" ca="1" si="3"/>
        <v>2669.4444444444403</v>
      </c>
      <c r="AQ25" s="238"/>
      <c r="AR25" s="239">
        <f t="shared" ca="1" si="4"/>
        <v>24891.666666666664</v>
      </c>
      <c r="AS25" s="240"/>
      <c r="AT25" s="87">
        <f t="shared" ca="1" si="10"/>
        <v>333333.33333333279</v>
      </c>
      <c r="AU25" s="75">
        <f t="shared" si="5"/>
        <v>25551.632304308991</v>
      </c>
    </row>
    <row r="26" spans="1:50" ht="14.1" customHeight="1" thickBot="1" x14ac:dyDescent="0.3">
      <c r="A26" s="43"/>
      <c r="B26" s="221">
        <v>3</v>
      </c>
      <c r="C26" s="221"/>
      <c r="D26" s="205">
        <f t="shared" si="11"/>
        <v>19652.744912441056</v>
      </c>
      <c r="E26" s="222">
        <f t="shared" si="12"/>
        <v>5898.8873918679328</v>
      </c>
      <c r="F26" s="222"/>
      <c r="G26" s="222">
        <f t="shared" si="13"/>
        <v>25551.632304308987</v>
      </c>
      <c r="H26" s="222"/>
      <c r="I26" s="202"/>
      <c r="J26" s="53"/>
      <c r="K26" s="54"/>
      <c r="L26" s="54"/>
      <c r="M26" s="54"/>
      <c r="N26" s="54"/>
      <c r="O26" s="125"/>
      <c r="Q26" s="122"/>
      <c r="R26" s="121">
        <v>44013</v>
      </c>
      <c r="S26" s="122">
        <v>2197</v>
      </c>
      <c r="T26" s="123"/>
      <c r="U26" s="115" t="s">
        <v>273</v>
      </c>
      <c r="V26" s="115">
        <f>E12</f>
        <v>36</v>
      </c>
      <c r="W26" s="124"/>
      <c r="X26" s="92">
        <v>7</v>
      </c>
      <c r="Y26" s="92">
        <v>31</v>
      </c>
      <c r="AA26" s="196">
        <f t="shared" si="0"/>
        <v>25551.632304308987</v>
      </c>
      <c r="AB26" s="185">
        <f t="shared" ca="1" si="6"/>
        <v>46818</v>
      </c>
      <c r="AC26" s="235">
        <f>AC25+1</f>
        <v>23</v>
      </c>
      <c r="AD26" s="236"/>
      <c r="AE26" s="83">
        <f t="shared" si="7"/>
        <v>22933.975998359518</v>
      </c>
      <c r="AF26" s="84"/>
      <c r="AG26" s="241">
        <f t="shared" si="8"/>
        <v>2617.6563059494692</v>
      </c>
      <c r="AH26" s="242"/>
      <c r="AI26" s="243">
        <f t="shared" si="9"/>
        <v>25551.632304308987</v>
      </c>
      <c r="AJ26" s="244"/>
      <c r="AK26" s="85">
        <f t="shared" ca="1" si="1"/>
        <v>46812</v>
      </c>
      <c r="AL26" s="235">
        <v>23</v>
      </c>
      <c r="AM26" s="236"/>
      <c r="AN26" s="86">
        <f t="shared" si="2"/>
        <v>22222.222222222223</v>
      </c>
      <c r="AO26" s="87"/>
      <c r="AP26" s="237">
        <f t="shared" ca="1" si="3"/>
        <v>2330.7407407407368</v>
      </c>
      <c r="AQ26" s="238"/>
      <c r="AR26" s="239">
        <f t="shared" ca="1" si="4"/>
        <v>24552.96296296296</v>
      </c>
      <c r="AS26" s="240"/>
      <c r="AT26" s="87">
        <f t="shared" ca="1" si="10"/>
        <v>311111.11111111054</v>
      </c>
      <c r="AU26" s="75">
        <f t="shared" si="5"/>
        <v>25551.632304308987</v>
      </c>
    </row>
    <row r="27" spans="1:50" ht="14.1" customHeight="1" x14ac:dyDescent="0.25">
      <c r="A27" s="43"/>
      <c r="B27" s="221">
        <v>4</v>
      </c>
      <c r="C27" s="221"/>
      <c r="D27" s="205">
        <f t="shared" si="11"/>
        <v>19805.05368551247</v>
      </c>
      <c r="E27" s="222">
        <f t="shared" si="12"/>
        <v>5746.5786187965159</v>
      </c>
      <c r="F27" s="222"/>
      <c r="G27" s="222">
        <f t="shared" si="13"/>
        <v>25551.632304308987</v>
      </c>
      <c r="H27" s="222"/>
      <c r="I27" s="202"/>
      <c r="J27" s="53"/>
      <c r="K27" s="54"/>
      <c r="L27" s="54"/>
      <c r="M27" s="54"/>
      <c r="N27" s="54"/>
      <c r="O27" s="125"/>
      <c r="Q27" s="122"/>
      <c r="R27" s="121">
        <v>44166</v>
      </c>
      <c r="S27" s="122">
        <v>2270</v>
      </c>
      <c r="T27" s="123"/>
      <c r="U27" s="123"/>
      <c r="V27" s="123"/>
      <c r="W27" s="124"/>
      <c r="X27" s="92">
        <v>8</v>
      </c>
      <c r="Y27" s="92">
        <v>31</v>
      </c>
      <c r="AA27" s="196">
        <f>IFERROR(AI27+Z28,"-")</f>
        <v>78120.632304308994</v>
      </c>
      <c r="AB27" s="185">
        <f t="shared" ca="1" si="6"/>
        <v>46849</v>
      </c>
      <c r="AC27" s="235">
        <f>AC26+1</f>
        <v>24</v>
      </c>
      <c r="AD27" s="236"/>
      <c r="AE27" s="83">
        <f t="shared" si="7"/>
        <v>23111.714312346805</v>
      </c>
      <c r="AF27" s="84"/>
      <c r="AG27" s="241">
        <f t="shared" si="8"/>
        <v>2439.9179919621829</v>
      </c>
      <c r="AH27" s="242"/>
      <c r="AI27" s="243">
        <f t="shared" si="9"/>
        <v>25551.632304308987</v>
      </c>
      <c r="AJ27" s="244"/>
      <c r="AK27" s="85">
        <f t="shared" ca="1" si="1"/>
        <v>46843</v>
      </c>
      <c r="AL27" s="235">
        <v>24</v>
      </c>
      <c r="AM27" s="236"/>
      <c r="AN27" s="86">
        <f t="shared" si="2"/>
        <v>22222.222222222223</v>
      </c>
      <c r="AO27" s="87"/>
      <c r="AP27" s="237">
        <f t="shared" ca="1" si="3"/>
        <v>2313.5185185185137</v>
      </c>
      <c r="AQ27" s="238"/>
      <c r="AR27" s="239">
        <f t="shared" ca="1" si="4"/>
        <v>24535.740740740737</v>
      </c>
      <c r="AS27" s="240"/>
      <c r="AT27" s="87">
        <f t="shared" ca="1" si="10"/>
        <v>288888.88888888829</v>
      </c>
      <c r="AU27" s="75">
        <f t="shared" si="5"/>
        <v>25551.632304308987</v>
      </c>
    </row>
    <row r="28" spans="1:50" ht="14.1" customHeight="1" x14ac:dyDescent="0.25">
      <c r="A28" s="43"/>
      <c r="B28" s="221">
        <v>5</v>
      </c>
      <c r="C28" s="221"/>
      <c r="D28" s="205">
        <f t="shared" si="11"/>
        <v>19958.542851575196</v>
      </c>
      <c r="E28" s="222">
        <f t="shared" si="12"/>
        <v>5593.0894527337941</v>
      </c>
      <c r="F28" s="222"/>
      <c r="G28" s="222">
        <f t="shared" si="13"/>
        <v>25551.632304308991</v>
      </c>
      <c r="H28" s="222"/>
      <c r="I28" s="202"/>
      <c r="J28" s="53"/>
      <c r="K28" s="54"/>
      <c r="L28" s="54"/>
      <c r="M28" s="54"/>
      <c r="N28" s="54"/>
      <c r="O28" s="125"/>
      <c r="R28" s="191">
        <v>46023</v>
      </c>
      <c r="S28" s="92">
        <v>3328</v>
      </c>
      <c r="T28" s="123"/>
      <c r="U28" s="123"/>
      <c r="V28" s="123"/>
      <c r="W28" s="124"/>
      <c r="X28" s="92">
        <v>9</v>
      </c>
      <c r="Y28" s="92">
        <v>30</v>
      </c>
      <c r="Z28" s="116">
        <f>IF($V$26&gt;AC28,$E$4*0.9*0.9*T33,0)</f>
        <v>52569</v>
      </c>
      <c r="AA28" s="196">
        <f t="shared" si="0"/>
        <v>25551.632304308991</v>
      </c>
      <c r="AB28" s="185">
        <f t="shared" ca="1" si="6"/>
        <v>46879</v>
      </c>
      <c r="AC28" s="235">
        <f t="shared" ref="AC28:AC78" si="14">AC27+1</f>
        <v>25</v>
      </c>
      <c r="AD28" s="236"/>
      <c r="AE28" s="83">
        <f t="shared" si="7"/>
        <v>23290.830098267495</v>
      </c>
      <c r="AF28" s="84"/>
      <c r="AG28" s="241">
        <f t="shared" si="8"/>
        <v>2260.8022060414946</v>
      </c>
      <c r="AH28" s="242"/>
      <c r="AI28" s="243">
        <f t="shared" si="9"/>
        <v>25551.632304308991</v>
      </c>
      <c r="AJ28" s="244"/>
      <c r="AK28" s="85">
        <f t="shared" ca="1" si="1"/>
        <v>46873</v>
      </c>
      <c r="AL28" s="235">
        <v>25</v>
      </c>
      <c r="AM28" s="236"/>
      <c r="AN28" s="86">
        <f t="shared" si="2"/>
        <v>22222.222222222223</v>
      </c>
      <c r="AO28" s="87"/>
      <c r="AP28" s="237">
        <f t="shared" ca="1" si="3"/>
        <v>2066.666666666662</v>
      </c>
      <c r="AQ28" s="238"/>
      <c r="AR28" s="239">
        <f t="shared" ca="1" si="4"/>
        <v>24288.888888888883</v>
      </c>
      <c r="AS28" s="240"/>
      <c r="AT28" s="87">
        <f t="shared" ca="1" si="10"/>
        <v>266666.66666666605</v>
      </c>
      <c r="AU28" s="75" t="e">
        <f>AI28+AW28+AX28</f>
        <v>#REF!</v>
      </c>
      <c r="AW28" s="63">
        <f>IF($E$12&gt;$R$3,$E$4*0.9*0.9*5.5%,"")</f>
        <v>44550</v>
      </c>
      <c r="AX28" s="63" t="e">
        <f>IF(#REF!=0,0,IF($E$12&gt;$R$3,(AE90-SUM(AE4:AE27))*0.0299,""))</f>
        <v>#REF!</v>
      </c>
    </row>
    <row r="29" spans="1:50" ht="14.1" customHeight="1" x14ac:dyDescent="0.25">
      <c r="A29" s="43"/>
      <c r="B29" s="221">
        <v>6</v>
      </c>
      <c r="C29" s="221"/>
      <c r="D29" s="205">
        <f t="shared" si="11"/>
        <v>20113.221558674904</v>
      </c>
      <c r="E29" s="222">
        <f t="shared" si="12"/>
        <v>5438.4107456340862</v>
      </c>
      <c r="F29" s="222"/>
      <c r="G29" s="222">
        <f t="shared" si="13"/>
        <v>25551.632304308991</v>
      </c>
      <c r="H29" s="222"/>
      <c r="I29" s="202"/>
      <c r="J29" s="53"/>
      <c r="K29" s="54"/>
      <c r="L29" s="54"/>
      <c r="M29" s="54"/>
      <c r="N29" s="54"/>
      <c r="O29" s="125"/>
      <c r="T29" s="123"/>
      <c r="U29" s="123"/>
      <c r="V29" s="123"/>
      <c r="W29" s="124"/>
      <c r="X29" s="92">
        <v>10</v>
      </c>
      <c r="Y29" s="92">
        <v>31</v>
      </c>
      <c r="AA29" s="196">
        <f t="shared" si="0"/>
        <v>25551.632304308987</v>
      </c>
      <c r="AB29" s="185">
        <f t="shared" ca="1" si="6"/>
        <v>46910</v>
      </c>
      <c r="AC29" s="235">
        <f t="shared" si="14"/>
        <v>26</v>
      </c>
      <c r="AD29" s="236"/>
      <c r="AE29" s="83">
        <f t="shared" si="7"/>
        <v>23471.334031529066</v>
      </c>
      <c r="AF29" s="84"/>
      <c r="AG29" s="241">
        <f t="shared" si="8"/>
        <v>2080.2982727799217</v>
      </c>
      <c r="AH29" s="242"/>
      <c r="AI29" s="243">
        <f t="shared" si="9"/>
        <v>25551.632304308987</v>
      </c>
      <c r="AJ29" s="244"/>
      <c r="AK29" s="85">
        <f t="shared" ca="1" si="1"/>
        <v>46904</v>
      </c>
      <c r="AL29" s="235">
        <v>26</v>
      </c>
      <c r="AM29" s="236"/>
      <c r="AN29" s="86">
        <f t="shared" si="2"/>
        <v>22222.222222222223</v>
      </c>
      <c r="AO29" s="87"/>
      <c r="AP29" s="237">
        <f t="shared" ca="1" si="3"/>
        <v>1957.5925925925878</v>
      </c>
      <c r="AQ29" s="238"/>
      <c r="AR29" s="239">
        <f t="shared" ca="1" si="4"/>
        <v>24179.81481481481</v>
      </c>
      <c r="AS29" s="240"/>
      <c r="AT29" s="87">
        <f t="shared" ca="1" si="10"/>
        <v>244444.44444444383</v>
      </c>
      <c r="AU29" s="75">
        <f t="shared" si="5"/>
        <v>25551.632304308987</v>
      </c>
    </row>
    <row r="30" spans="1:50" ht="14.1" customHeight="1" x14ac:dyDescent="0.25">
      <c r="A30" s="43"/>
      <c r="B30" s="221">
        <v>7</v>
      </c>
      <c r="C30" s="221"/>
      <c r="D30" s="205">
        <f t="shared" si="11"/>
        <v>20269.099025754633</v>
      </c>
      <c r="E30" s="222">
        <f t="shared" si="12"/>
        <v>5282.5332785543551</v>
      </c>
      <c r="F30" s="222"/>
      <c r="G30" s="222">
        <f t="shared" si="13"/>
        <v>25551.632304308987</v>
      </c>
      <c r="H30" s="222"/>
      <c r="I30" s="202"/>
      <c r="J30" s="53"/>
      <c r="K30" s="54"/>
      <c r="L30" s="54"/>
      <c r="M30" s="50"/>
      <c r="N30" s="54"/>
      <c r="O30" s="125"/>
      <c r="T30" s="123"/>
      <c r="U30" s="123"/>
      <c r="V30" s="123"/>
      <c r="W30" s="124"/>
      <c r="X30" s="92">
        <v>11</v>
      </c>
      <c r="Y30" s="92">
        <v>30</v>
      </c>
      <c r="AA30" s="196">
        <f t="shared" si="0"/>
        <v>25551.632304308987</v>
      </c>
      <c r="AB30" s="185">
        <f t="shared" ca="1" si="6"/>
        <v>46940</v>
      </c>
      <c r="AC30" s="235">
        <f t="shared" si="14"/>
        <v>27</v>
      </c>
      <c r="AD30" s="236"/>
      <c r="AE30" s="83">
        <f t="shared" si="7"/>
        <v>23653.236870273417</v>
      </c>
      <c r="AF30" s="84"/>
      <c r="AG30" s="241">
        <f t="shared" si="8"/>
        <v>1898.3954340355717</v>
      </c>
      <c r="AH30" s="242"/>
      <c r="AI30" s="243">
        <f t="shared" si="9"/>
        <v>25551.632304308987</v>
      </c>
      <c r="AJ30" s="244"/>
      <c r="AK30" s="85">
        <f t="shared" ca="1" si="1"/>
        <v>46934</v>
      </c>
      <c r="AL30" s="235">
        <v>27</v>
      </c>
      <c r="AM30" s="236"/>
      <c r="AN30" s="86">
        <f t="shared" si="2"/>
        <v>22222.222222222223</v>
      </c>
      <c r="AO30" s="87"/>
      <c r="AP30" s="237">
        <f t="shared" ca="1" si="3"/>
        <v>1722.2222222222176</v>
      </c>
      <c r="AQ30" s="238"/>
      <c r="AR30" s="239">
        <f t="shared" ca="1" si="4"/>
        <v>23944.444444444442</v>
      </c>
      <c r="AS30" s="240"/>
      <c r="AT30" s="87">
        <f t="shared" ca="1" si="10"/>
        <v>222222.22222222161</v>
      </c>
      <c r="AU30" s="75">
        <f t="shared" si="5"/>
        <v>25551.632304308987</v>
      </c>
    </row>
    <row r="31" spans="1:50" ht="14.1" customHeight="1" x14ac:dyDescent="0.25">
      <c r="A31" s="43"/>
      <c r="B31" s="221">
        <v>8</v>
      </c>
      <c r="C31" s="221"/>
      <c r="D31" s="205">
        <f t="shared" si="11"/>
        <v>20426.184543204232</v>
      </c>
      <c r="E31" s="222">
        <f t="shared" si="12"/>
        <v>5125.447761104756</v>
      </c>
      <c r="F31" s="222"/>
      <c r="G31" s="222">
        <f t="shared" si="13"/>
        <v>25551.632304308987</v>
      </c>
      <c r="H31" s="222"/>
      <c r="I31" s="202"/>
      <c r="J31" s="53"/>
      <c r="K31" s="54"/>
      <c r="L31" s="54"/>
      <c r="M31" s="54"/>
      <c r="N31" s="54"/>
      <c r="O31" s="125"/>
      <c r="T31" s="123"/>
      <c r="U31" s="123"/>
      <c r="V31" s="123"/>
      <c r="W31" s="124"/>
      <c r="X31" s="92">
        <v>12</v>
      </c>
      <c r="Y31" s="92">
        <v>31</v>
      </c>
      <c r="AA31" s="196">
        <f t="shared" si="0"/>
        <v>25551.632304308991</v>
      </c>
      <c r="AB31" s="185">
        <f t="shared" ca="1" si="6"/>
        <v>46971</v>
      </c>
      <c r="AC31" s="235">
        <f t="shared" si="14"/>
        <v>28</v>
      </c>
      <c r="AD31" s="236"/>
      <c r="AE31" s="83">
        <f t="shared" si="7"/>
        <v>23836.549456018038</v>
      </c>
      <c r="AF31" s="84"/>
      <c r="AG31" s="241">
        <f t="shared" si="8"/>
        <v>1715.0828482909526</v>
      </c>
      <c r="AH31" s="242"/>
      <c r="AI31" s="243">
        <f t="shared" si="9"/>
        <v>25551.632304308991</v>
      </c>
      <c r="AJ31" s="244"/>
      <c r="AK31" s="85">
        <f t="shared" ca="1" si="1"/>
        <v>46965</v>
      </c>
      <c r="AL31" s="235">
        <v>28</v>
      </c>
      <c r="AM31" s="236"/>
      <c r="AN31" s="86">
        <f t="shared" si="2"/>
        <v>22222.222222222223</v>
      </c>
      <c r="AO31" s="87"/>
      <c r="AP31" s="237">
        <f t="shared" ca="1" si="3"/>
        <v>1601.6666666666617</v>
      </c>
      <c r="AQ31" s="238"/>
      <c r="AR31" s="239">
        <f t="shared" ca="1" si="4"/>
        <v>23823.888888888883</v>
      </c>
      <c r="AS31" s="240"/>
      <c r="AT31" s="87">
        <f t="shared" ca="1" si="10"/>
        <v>199999.99999999939</v>
      </c>
      <c r="AU31" s="75">
        <f t="shared" si="5"/>
        <v>25551.632304308991</v>
      </c>
    </row>
    <row r="32" spans="1:50" ht="14.1" customHeight="1" x14ac:dyDescent="0.25">
      <c r="A32" s="43"/>
      <c r="B32" s="221">
        <v>9</v>
      </c>
      <c r="C32" s="221"/>
      <c r="D32" s="205">
        <f t="shared" si="11"/>
        <v>20584.487473414065</v>
      </c>
      <c r="E32" s="222">
        <f t="shared" si="12"/>
        <v>4967.144830894923</v>
      </c>
      <c r="F32" s="222"/>
      <c r="G32" s="222">
        <f t="shared" si="13"/>
        <v>25551.632304308987</v>
      </c>
      <c r="H32" s="222"/>
      <c r="I32" s="202"/>
      <c r="J32" s="53"/>
      <c r="K32" s="54"/>
      <c r="L32" s="54"/>
      <c r="M32" s="54"/>
      <c r="N32" s="54"/>
      <c r="O32" s="125"/>
      <c r="Q32" s="126" t="s">
        <v>249</v>
      </c>
      <c r="R32" s="127" t="s">
        <v>274</v>
      </c>
      <c r="S32" s="188" t="s">
        <v>275</v>
      </c>
      <c r="T32" s="188" t="s">
        <v>229</v>
      </c>
      <c r="U32" s="187" t="s">
        <v>276</v>
      </c>
      <c r="V32" s="123"/>
      <c r="W32" s="124"/>
      <c r="AA32" s="196">
        <f t="shared" si="0"/>
        <v>25551.632304308987</v>
      </c>
      <c r="AB32" s="185">
        <f t="shared" ca="1" si="6"/>
        <v>47002</v>
      </c>
      <c r="AC32" s="235">
        <f t="shared" si="14"/>
        <v>29</v>
      </c>
      <c r="AD32" s="236"/>
      <c r="AE32" s="83">
        <f t="shared" si="7"/>
        <v>24021.282714302175</v>
      </c>
      <c r="AF32" s="84"/>
      <c r="AG32" s="241">
        <f t="shared" si="8"/>
        <v>1530.3495900068128</v>
      </c>
      <c r="AH32" s="242"/>
      <c r="AI32" s="243">
        <f t="shared" si="9"/>
        <v>25551.632304308987</v>
      </c>
      <c r="AJ32" s="244"/>
      <c r="AK32" s="85">
        <f t="shared" ca="1" si="1"/>
        <v>46996</v>
      </c>
      <c r="AL32" s="235">
        <v>29</v>
      </c>
      <c r="AM32" s="236"/>
      <c r="AN32" s="86">
        <f t="shared" si="2"/>
        <v>22222.222222222223</v>
      </c>
      <c r="AO32" s="87"/>
      <c r="AP32" s="237">
        <f t="shared" ca="1" si="3"/>
        <v>1423.7037037036989</v>
      </c>
      <c r="AQ32" s="238"/>
      <c r="AR32" s="239">
        <f t="shared" ca="1" si="4"/>
        <v>23645.92592592592</v>
      </c>
      <c r="AS32" s="240"/>
      <c r="AT32" s="87">
        <f t="shared" ca="1" si="10"/>
        <v>177777.77777777717</v>
      </c>
      <c r="AU32" s="75">
        <f t="shared" si="5"/>
        <v>25551.632304308987</v>
      </c>
    </row>
    <row r="33" spans="1:50" ht="14.1" customHeight="1" x14ac:dyDescent="0.25">
      <c r="A33" s="43"/>
      <c r="B33" s="221">
        <v>10</v>
      </c>
      <c r="C33" s="221"/>
      <c r="D33" s="205">
        <f t="shared" si="11"/>
        <v>20744.017251333025</v>
      </c>
      <c r="E33" s="222">
        <f t="shared" si="12"/>
        <v>4807.6150529759652</v>
      </c>
      <c r="F33" s="222"/>
      <c r="G33" s="222">
        <f t="shared" si="13"/>
        <v>25551.632304308991</v>
      </c>
      <c r="H33" s="222"/>
      <c r="I33" s="202"/>
      <c r="J33" s="53"/>
      <c r="K33" s="54"/>
      <c r="L33" s="54"/>
      <c r="M33" s="57"/>
      <c r="N33" s="54"/>
      <c r="O33" s="125"/>
      <c r="Q33" s="126" t="s">
        <v>243</v>
      </c>
      <c r="R33" s="146">
        <f>Калькулятор!N6</f>
        <v>9.3000000000000007</v>
      </c>
      <c r="S33" s="189">
        <f>Калькулятор!G9/100</f>
        <v>2.9900000000000003E-2</v>
      </c>
      <c r="T33" s="190">
        <v>6.4899999999999999E-2</v>
      </c>
      <c r="U33" s="128">
        <v>750</v>
      </c>
      <c r="V33" s="123"/>
      <c r="W33" s="124"/>
      <c r="AA33" s="196">
        <f t="shared" si="0"/>
        <v>25551.632304308987</v>
      </c>
      <c r="AB33" s="185">
        <f t="shared" ca="1" si="6"/>
        <v>47032</v>
      </c>
      <c r="AC33" s="235">
        <f t="shared" si="14"/>
        <v>30</v>
      </c>
      <c r="AD33" s="236"/>
      <c r="AE33" s="83">
        <f t="shared" si="7"/>
        <v>24207.447655338015</v>
      </c>
      <c r="AF33" s="84"/>
      <c r="AG33" s="241">
        <f t="shared" si="8"/>
        <v>1344.184648970971</v>
      </c>
      <c r="AH33" s="242"/>
      <c r="AI33" s="243">
        <f t="shared" si="9"/>
        <v>25551.632304308987</v>
      </c>
      <c r="AJ33" s="244"/>
      <c r="AK33" s="85">
        <f t="shared" ca="1" si="1"/>
        <v>47026</v>
      </c>
      <c r="AL33" s="235">
        <v>30</v>
      </c>
      <c r="AM33" s="236"/>
      <c r="AN33" s="86">
        <f t="shared" si="2"/>
        <v>22222.222222222223</v>
      </c>
      <c r="AO33" s="87"/>
      <c r="AP33" s="237">
        <f t="shared" ca="1" si="3"/>
        <v>1205.5555555555511</v>
      </c>
      <c r="AQ33" s="238"/>
      <c r="AR33" s="239">
        <f t="shared" ca="1" si="4"/>
        <v>23427.777777777774</v>
      </c>
      <c r="AS33" s="240"/>
      <c r="AT33" s="87">
        <f t="shared" ca="1" si="10"/>
        <v>155555.55555555495</v>
      </c>
      <c r="AU33" s="75">
        <f t="shared" si="5"/>
        <v>25551.632304308987</v>
      </c>
    </row>
    <row r="34" spans="1:50" ht="14.1" customHeight="1" x14ac:dyDescent="0.25">
      <c r="A34" s="43"/>
      <c r="B34" s="221">
        <v>11</v>
      </c>
      <c r="C34" s="221"/>
      <c r="D34" s="205">
        <f t="shared" si="11"/>
        <v>20904.783385030853</v>
      </c>
      <c r="E34" s="222">
        <f t="shared" si="12"/>
        <v>4646.8489192781344</v>
      </c>
      <c r="F34" s="222"/>
      <c r="G34" s="222">
        <f t="shared" si="13"/>
        <v>25551.632304308987</v>
      </c>
      <c r="H34" s="222"/>
      <c r="I34" s="202"/>
      <c r="J34" s="53"/>
      <c r="K34" s="54"/>
      <c r="L34" s="54"/>
      <c r="M34" s="54"/>
      <c r="N34" s="54"/>
      <c r="O34" s="125"/>
      <c r="R34" s="129"/>
      <c r="T34" s="123"/>
      <c r="U34" s="123"/>
      <c r="V34" s="123"/>
      <c r="W34" s="124"/>
      <c r="AA34" s="196">
        <f t="shared" si="0"/>
        <v>25551.632304308991</v>
      </c>
      <c r="AB34" s="185">
        <f t="shared" ca="1" si="6"/>
        <v>47063</v>
      </c>
      <c r="AC34" s="235">
        <f t="shared" si="14"/>
        <v>31</v>
      </c>
      <c r="AD34" s="236"/>
      <c r="AE34" s="83">
        <f t="shared" si="7"/>
        <v>24395.055374666888</v>
      </c>
      <c r="AF34" s="84"/>
      <c r="AG34" s="241">
        <f t="shared" si="8"/>
        <v>1156.576929642101</v>
      </c>
      <c r="AH34" s="242"/>
      <c r="AI34" s="243">
        <f t="shared" si="9"/>
        <v>25551.632304308991</v>
      </c>
      <c r="AJ34" s="244"/>
      <c r="AK34" s="85">
        <f t="shared" ca="1" si="1"/>
        <v>47057</v>
      </c>
      <c r="AL34" s="235">
        <v>31</v>
      </c>
      <c r="AM34" s="236"/>
      <c r="AN34" s="86">
        <f t="shared" si="2"/>
        <v>22222.222222222223</v>
      </c>
      <c r="AO34" s="87"/>
      <c r="AP34" s="237">
        <f t="shared" ca="1" si="3"/>
        <v>1067.7777777777728</v>
      </c>
      <c r="AQ34" s="238"/>
      <c r="AR34" s="239">
        <f t="shared" ca="1" si="4"/>
        <v>23289.999999999996</v>
      </c>
      <c r="AS34" s="240"/>
      <c r="AT34" s="87">
        <f t="shared" ca="1" si="10"/>
        <v>133333.33333333273</v>
      </c>
      <c r="AU34" s="75">
        <f t="shared" si="5"/>
        <v>25551.632304308991</v>
      </c>
    </row>
    <row r="35" spans="1:50" ht="14.1" customHeight="1" x14ac:dyDescent="0.25">
      <c r="A35" s="43"/>
      <c r="B35" s="221">
        <v>12</v>
      </c>
      <c r="C35" s="221"/>
      <c r="D35" s="205">
        <f t="shared" si="11"/>
        <v>21066.795456264845</v>
      </c>
      <c r="E35" s="222">
        <f t="shared" si="12"/>
        <v>4484.8368480441459</v>
      </c>
      <c r="F35" s="222"/>
      <c r="G35" s="222">
        <f t="shared" si="13"/>
        <v>25551.632304308991</v>
      </c>
      <c r="H35" s="222"/>
      <c r="I35" s="202"/>
      <c r="J35" s="53"/>
      <c r="K35" s="56"/>
      <c r="L35" s="56"/>
      <c r="M35" s="54"/>
      <c r="N35" s="54"/>
      <c r="O35" s="125"/>
      <c r="Q35" s="192" t="s">
        <v>277</v>
      </c>
      <c r="R35" s="193">
        <f>MAX(AI4:AJ87)</f>
        <v>25551.632304308994</v>
      </c>
      <c r="S35" s="63"/>
      <c r="T35" s="123"/>
      <c r="V35" s="123"/>
      <c r="W35" s="124"/>
      <c r="AA35" s="196">
        <f t="shared" si="0"/>
        <v>25551.632304308987</v>
      </c>
      <c r="AB35" s="185">
        <f t="shared" ca="1" si="6"/>
        <v>47093</v>
      </c>
      <c r="AC35" s="235">
        <f t="shared" si="14"/>
        <v>32</v>
      </c>
      <c r="AD35" s="236"/>
      <c r="AE35" s="83">
        <f t="shared" si="7"/>
        <v>24584.117053820555</v>
      </c>
      <c r="AF35" s="84"/>
      <c r="AG35" s="241">
        <f t="shared" si="8"/>
        <v>967.51525048843291</v>
      </c>
      <c r="AH35" s="242"/>
      <c r="AI35" s="243">
        <f t="shared" si="9"/>
        <v>25551.632304308987</v>
      </c>
      <c r="AJ35" s="244"/>
      <c r="AK35" s="85">
        <f t="shared" ca="1" si="1"/>
        <v>47087</v>
      </c>
      <c r="AL35" s="235">
        <v>32</v>
      </c>
      <c r="AM35" s="236"/>
      <c r="AN35" s="86">
        <f t="shared" si="2"/>
        <v>22222.222222222223</v>
      </c>
      <c r="AO35" s="87"/>
      <c r="AP35" s="237">
        <f t="shared" ca="1" si="3"/>
        <v>861.11111111110654</v>
      </c>
      <c r="AQ35" s="238"/>
      <c r="AR35" s="239">
        <f t="shared" ca="1" si="4"/>
        <v>23083.333333333328</v>
      </c>
      <c r="AS35" s="240"/>
      <c r="AT35" s="87">
        <f t="shared" ca="1" si="10"/>
        <v>111111.11111111051</v>
      </c>
      <c r="AU35" s="75">
        <f t="shared" si="5"/>
        <v>25551.632304308987</v>
      </c>
    </row>
    <row r="36" spans="1:50" ht="14.1" customHeight="1" x14ac:dyDescent="0.25">
      <c r="A36" s="43"/>
      <c r="B36" s="221">
        <f>IF(E12=12,"Всього:",IF(B35&lt;$E$12,B35+1,""))</f>
        <v>13</v>
      </c>
      <c r="C36" s="221"/>
      <c r="D36" s="205">
        <f>IF(E12=12,SUM(D24:D35),IF(B35&lt;$E$12,AE16,""))</f>
        <v>21230.063121050898</v>
      </c>
      <c r="E36" s="222">
        <f>IF(E12=12,SUM(E24:F35),IF(B35&lt;$E$12,AG16,""))</f>
        <v>4321.5691832580924</v>
      </c>
      <c r="F36" s="222"/>
      <c r="G36" s="222">
        <f>IF(E12=12,SUM(G24:H35),IF(B35&lt;$E$12,AI16,""))</f>
        <v>25551.632304308991</v>
      </c>
      <c r="H36" s="222"/>
      <c r="I36" s="202"/>
      <c r="J36" s="53"/>
      <c r="K36" s="56"/>
      <c r="L36" s="56"/>
      <c r="M36" s="54"/>
      <c r="N36" s="54"/>
      <c r="O36" s="125"/>
      <c r="Q36" s="12" t="s">
        <v>212</v>
      </c>
      <c r="R36" s="92">
        <f>Калькулятор!N40</f>
        <v>0</v>
      </c>
      <c r="S36" s="63"/>
      <c r="T36" s="123"/>
      <c r="U36" s="123"/>
      <c r="V36" s="123"/>
      <c r="W36" s="124"/>
      <c r="AA36" s="196">
        <f t="shared" si="0"/>
        <v>25551.632304308987</v>
      </c>
      <c r="AB36" s="185">
        <f t="shared" ca="1" si="6"/>
        <v>47124</v>
      </c>
      <c r="AC36" s="235">
        <f t="shared" si="14"/>
        <v>33</v>
      </c>
      <c r="AD36" s="236"/>
      <c r="AE36" s="83">
        <f t="shared" si="7"/>
        <v>24774.643960987665</v>
      </c>
      <c r="AF36" s="84"/>
      <c r="AG36" s="241">
        <f t="shared" si="8"/>
        <v>776.98834332132355</v>
      </c>
      <c r="AH36" s="242"/>
      <c r="AI36" s="243">
        <f t="shared" si="9"/>
        <v>25551.632304308987</v>
      </c>
      <c r="AJ36" s="244"/>
      <c r="AK36" s="85">
        <f t="shared" ca="1" si="1"/>
        <v>47118</v>
      </c>
      <c r="AL36" s="235">
        <v>33</v>
      </c>
      <c r="AM36" s="236"/>
      <c r="AN36" s="86">
        <f t="shared" si="2"/>
        <v>22222.222222222223</v>
      </c>
      <c r="AO36" s="87"/>
      <c r="AP36" s="237">
        <f t="shared" ca="1" si="3"/>
        <v>711.85185185184719</v>
      </c>
      <c r="AQ36" s="238"/>
      <c r="AR36" s="239">
        <f t="shared" ca="1" si="4"/>
        <v>22934.074074074069</v>
      </c>
      <c r="AS36" s="240"/>
      <c r="AT36" s="87">
        <f t="shared" ca="1" si="10"/>
        <v>88888.888888888294</v>
      </c>
      <c r="AU36" s="75">
        <f t="shared" si="5"/>
        <v>25551.632304308987</v>
      </c>
    </row>
    <row r="37" spans="1:50" ht="14.1" customHeight="1" x14ac:dyDescent="0.25">
      <c r="A37" s="43"/>
      <c r="B37" s="221">
        <f t="shared" ref="B37:B100" si="15">IF(B36&lt;$E$12,B36+1,"")</f>
        <v>14</v>
      </c>
      <c r="C37" s="221"/>
      <c r="D37" s="205">
        <f t="shared" ref="D37:D47" si="16">IF(B36&lt;$E$12,AE17,"")</f>
        <v>21394.596110239043</v>
      </c>
      <c r="E37" s="222">
        <f t="shared" ref="E37:E47" si="17">IF(B36&lt;$E$12,AG17,"")</f>
        <v>4157.0361940699477</v>
      </c>
      <c r="F37" s="222"/>
      <c r="G37" s="222">
        <f t="shared" ref="G37:G47" si="18">IF(B36&lt;$E$12,AI17,"")</f>
        <v>25551.632304308991</v>
      </c>
      <c r="H37" s="222"/>
      <c r="I37" s="202"/>
      <c r="J37" s="53"/>
      <c r="K37" s="56"/>
      <c r="L37" s="56"/>
      <c r="M37" s="54"/>
      <c r="N37" s="54"/>
      <c r="O37" s="125"/>
      <c r="Q37" s="192" t="s">
        <v>278</v>
      </c>
      <c r="R37" s="192">
        <f>V9*S33</f>
        <v>23920.000000000004</v>
      </c>
      <c r="S37" s="63"/>
      <c r="AA37" s="196">
        <f t="shared" si="0"/>
        <v>25551.632304308987</v>
      </c>
      <c r="AB37" s="185">
        <f t="shared" ca="1" si="6"/>
        <v>47155</v>
      </c>
      <c r="AC37" s="235">
        <f t="shared" si="14"/>
        <v>34</v>
      </c>
      <c r="AD37" s="236"/>
      <c r="AE37" s="83">
        <f t="shared" si="7"/>
        <v>24966.64745168532</v>
      </c>
      <c r="AF37" s="84"/>
      <c r="AG37" s="241">
        <f t="shared" si="8"/>
        <v>584.9848526236691</v>
      </c>
      <c r="AH37" s="242"/>
      <c r="AI37" s="243">
        <f t="shared" si="9"/>
        <v>25551.632304308987</v>
      </c>
      <c r="AJ37" s="244"/>
      <c r="AK37" s="85">
        <f t="shared" ca="1" si="1"/>
        <v>47149</v>
      </c>
      <c r="AL37" s="235">
        <v>34</v>
      </c>
      <c r="AM37" s="236"/>
      <c r="AN37" s="86">
        <f t="shared" si="2"/>
        <v>22222.222222222223</v>
      </c>
      <c r="AO37" s="87"/>
      <c r="AP37" s="237">
        <f t="shared" ca="1" si="3"/>
        <v>533.88888888888425</v>
      </c>
      <c r="AQ37" s="238"/>
      <c r="AR37" s="239">
        <f t="shared" ca="1" si="4"/>
        <v>22756.111111111106</v>
      </c>
      <c r="AS37" s="240"/>
      <c r="AT37" s="87">
        <f t="shared" ca="1" si="10"/>
        <v>66666.666666666075</v>
      </c>
      <c r="AU37" s="75">
        <f t="shared" si="5"/>
        <v>25551.632304308987</v>
      </c>
    </row>
    <row r="38" spans="1:50" ht="14.1" customHeight="1" x14ac:dyDescent="0.25">
      <c r="A38" s="43"/>
      <c r="B38" s="221">
        <f t="shared" si="15"/>
        <v>15</v>
      </c>
      <c r="C38" s="221"/>
      <c r="D38" s="205">
        <f t="shared" si="16"/>
        <v>21560.404230093398</v>
      </c>
      <c r="E38" s="222">
        <f t="shared" si="17"/>
        <v>3991.2280742155954</v>
      </c>
      <c r="F38" s="222"/>
      <c r="G38" s="222">
        <f t="shared" si="18"/>
        <v>25551.632304308994</v>
      </c>
      <c r="H38" s="222"/>
      <c r="I38" s="202"/>
      <c r="J38" s="53"/>
      <c r="K38" s="56"/>
      <c r="L38" s="56"/>
      <c r="M38" s="54"/>
      <c r="N38" s="54"/>
      <c r="O38" s="125"/>
      <c r="Q38" s="192" t="s">
        <v>214</v>
      </c>
      <c r="R38" s="192">
        <f>E4*T33</f>
        <v>64900</v>
      </c>
      <c r="S38" s="63"/>
      <c r="T38" s="131"/>
      <c r="U38" s="132"/>
      <c r="V38" s="133"/>
      <c r="W38" s="133"/>
      <c r="X38" s="133"/>
      <c r="Y38" s="133"/>
      <c r="AA38" s="196">
        <f t="shared" si="0"/>
        <v>25551.632304308987</v>
      </c>
      <c r="AB38" s="185">
        <f t="shared" ca="1" si="6"/>
        <v>47183</v>
      </c>
      <c r="AC38" s="235">
        <f t="shared" si="14"/>
        <v>35</v>
      </c>
      <c r="AD38" s="236"/>
      <c r="AE38" s="83">
        <f t="shared" si="7"/>
        <v>25160.13896943588</v>
      </c>
      <c r="AF38" s="84"/>
      <c r="AG38" s="241">
        <f t="shared" si="8"/>
        <v>391.49333487310793</v>
      </c>
      <c r="AH38" s="242"/>
      <c r="AI38" s="243">
        <f t="shared" si="9"/>
        <v>25551.632304308987</v>
      </c>
      <c r="AJ38" s="244"/>
      <c r="AK38" s="85">
        <f t="shared" ca="1" si="1"/>
        <v>47177</v>
      </c>
      <c r="AL38" s="235">
        <v>35</v>
      </c>
      <c r="AM38" s="236"/>
      <c r="AN38" s="86">
        <f t="shared" si="2"/>
        <v>22222.222222222223</v>
      </c>
      <c r="AO38" s="87"/>
      <c r="AP38" s="237">
        <f t="shared" ca="1" si="3"/>
        <v>321.48148148147732</v>
      </c>
      <c r="AQ38" s="238"/>
      <c r="AR38" s="239">
        <f t="shared" ca="1" si="4"/>
        <v>22543.703703703701</v>
      </c>
      <c r="AS38" s="240"/>
      <c r="AT38" s="87">
        <f t="shared" ca="1" si="10"/>
        <v>44444.444444443856</v>
      </c>
      <c r="AU38" s="75">
        <f t="shared" si="5"/>
        <v>25551.632304308987</v>
      </c>
    </row>
    <row r="39" spans="1:50" ht="14.1" customHeight="1" thickBot="1" x14ac:dyDescent="0.3">
      <c r="A39" s="43"/>
      <c r="B39" s="221">
        <f t="shared" si="15"/>
        <v>16</v>
      </c>
      <c r="C39" s="221"/>
      <c r="D39" s="205">
        <f t="shared" si="16"/>
        <v>21727.497362876617</v>
      </c>
      <c r="E39" s="222">
        <f t="shared" si="17"/>
        <v>3824.1349414323718</v>
      </c>
      <c r="F39" s="222"/>
      <c r="G39" s="222">
        <f t="shared" si="18"/>
        <v>25551.632304308987</v>
      </c>
      <c r="H39" s="222"/>
      <c r="I39" s="202"/>
      <c r="J39" s="53"/>
      <c r="K39" s="55"/>
      <c r="L39" s="56"/>
      <c r="M39" s="54"/>
      <c r="N39" s="54"/>
      <c r="O39" s="125"/>
      <c r="Q39" s="92" t="s">
        <v>215</v>
      </c>
      <c r="R39" s="194">
        <f>IF(E6="Ні",IF(E4/1.2&lt;=165*$S$28,E4/1.2*3%,IF(E4/1.2&lt;=290*$S$28,E4/1.2*4%,E4/1.2*5%)),0)</f>
        <v>33333.333333333336</v>
      </c>
      <c r="T39" s="131"/>
      <c r="U39" s="132"/>
      <c r="V39" s="132"/>
      <c r="W39" s="132"/>
      <c r="X39" s="132"/>
      <c r="Y39" s="132"/>
      <c r="AA39" s="196">
        <f>IFERROR(AI39+Z40,"-")</f>
        <v>25551.632304308987</v>
      </c>
      <c r="AB39" s="185">
        <f t="shared" ca="1" si="6"/>
        <v>47213</v>
      </c>
      <c r="AC39" s="235">
        <f t="shared" si="14"/>
        <v>36</v>
      </c>
      <c r="AD39" s="236"/>
      <c r="AE39" s="83">
        <f t="shared" si="7"/>
        <v>25355.130046449009</v>
      </c>
      <c r="AF39" s="84"/>
      <c r="AG39" s="241">
        <f t="shared" si="8"/>
        <v>196.50225785997981</v>
      </c>
      <c r="AH39" s="242"/>
      <c r="AI39" s="243">
        <f t="shared" si="9"/>
        <v>25551.632304308987</v>
      </c>
      <c r="AJ39" s="244"/>
      <c r="AK39" s="85">
        <f t="shared" ca="1" si="1"/>
        <v>47208</v>
      </c>
      <c r="AL39" s="235">
        <v>36</v>
      </c>
      <c r="AM39" s="236"/>
      <c r="AN39" s="86">
        <f t="shared" si="2"/>
        <v>22222.222222222223</v>
      </c>
      <c r="AO39" s="87"/>
      <c r="AP39" s="237">
        <f t="shared" ca="1" si="3"/>
        <v>177.96296296295824</v>
      </c>
      <c r="AQ39" s="238"/>
      <c r="AR39" s="239">
        <f t="shared" ca="1" si="4"/>
        <v>22400.185185185182</v>
      </c>
      <c r="AS39" s="240"/>
      <c r="AT39" s="87">
        <f t="shared" ca="1" si="10"/>
        <v>22222.222222221633</v>
      </c>
      <c r="AU39" s="75">
        <f t="shared" si="5"/>
        <v>25551.632304308987</v>
      </c>
    </row>
    <row r="40" spans="1:50" ht="14.1" customHeight="1" x14ac:dyDescent="0.25">
      <c r="A40" s="43"/>
      <c r="B40" s="221">
        <f t="shared" si="15"/>
        <v>17</v>
      </c>
      <c r="C40" s="221"/>
      <c r="D40" s="205">
        <f t="shared" si="16"/>
        <v>21895.885467438911</v>
      </c>
      <c r="E40" s="222">
        <f t="shared" si="17"/>
        <v>3655.7468368700779</v>
      </c>
      <c r="F40" s="222"/>
      <c r="G40" s="222">
        <f t="shared" si="18"/>
        <v>25551.632304308991</v>
      </c>
      <c r="H40" s="222"/>
      <c r="I40" s="202"/>
      <c r="J40" s="53"/>
      <c r="K40" s="134" t="s">
        <v>279</v>
      </c>
      <c r="L40" s="56"/>
      <c r="M40" s="54"/>
      <c r="N40" s="54"/>
      <c r="O40" s="125"/>
      <c r="Q40" s="92" t="s">
        <v>219</v>
      </c>
      <c r="R40" s="92">
        <f>Калькулятор!N43+Калькулятор!N37</f>
        <v>0</v>
      </c>
      <c r="T40" s="135"/>
      <c r="U40" s="135"/>
      <c r="V40" s="135"/>
      <c r="W40" s="135"/>
      <c r="X40" s="135"/>
      <c r="Y40" s="135"/>
      <c r="Z40" s="116">
        <f>IF($V$26&gt;AC40,$E$4*0.9*0.9*0.9*T33,0)</f>
        <v>0</v>
      </c>
      <c r="AA40" s="196" t="str">
        <f t="shared" si="0"/>
        <v>-</v>
      </c>
      <c r="AB40" s="185" t="str">
        <f t="shared" si="6"/>
        <v>-</v>
      </c>
      <c r="AC40" s="235">
        <f t="shared" si="14"/>
        <v>37</v>
      </c>
      <c r="AD40" s="236"/>
      <c r="AE40" s="83" t="str">
        <f t="shared" si="7"/>
        <v>-</v>
      </c>
      <c r="AF40" s="84"/>
      <c r="AG40" s="241" t="str">
        <f t="shared" si="8"/>
        <v>-</v>
      </c>
      <c r="AH40" s="242"/>
      <c r="AI40" s="243" t="str">
        <f t="shared" si="9"/>
        <v>-</v>
      </c>
      <c r="AJ40" s="244"/>
      <c r="AK40" s="85">
        <f t="shared" ca="1" si="1"/>
        <v>47238</v>
      </c>
      <c r="AL40" s="235">
        <v>37</v>
      </c>
      <c r="AM40" s="236"/>
      <c r="AN40" s="86">
        <f t="shared" si="2"/>
        <v>22222.222222222223</v>
      </c>
      <c r="AO40" s="87"/>
      <c r="AP40" s="237">
        <f t="shared" ca="1" si="3"/>
        <v>-4.5674823923036458E-12</v>
      </c>
      <c r="AQ40" s="238"/>
      <c r="AR40" s="239">
        <f t="shared" ca="1" si="4"/>
        <v>22222.222222222219</v>
      </c>
      <c r="AS40" s="240"/>
      <c r="AT40" s="87">
        <f t="shared" ca="1" si="10"/>
        <v>-5.893525667488575E-10</v>
      </c>
      <c r="AU40" s="75" t="e">
        <f>AI40+AW40+AX40</f>
        <v>#VALUE!</v>
      </c>
      <c r="AW40" s="63" t="str">
        <f>IF($E$12&gt;$R$4,$E$4*0.9*0.9*0.9*5.5%,"")</f>
        <v/>
      </c>
      <c r="AX40" s="63" t="e">
        <f>IF(#REF!=0,0,IF($E$12&gt;$R$4,(AE90-SUM(AE4:AE39))*0.0299,""))</f>
        <v>#REF!</v>
      </c>
    </row>
    <row r="41" spans="1:50" ht="14.1" customHeight="1" thickBot="1" x14ac:dyDescent="0.3">
      <c r="A41" s="43"/>
      <c r="B41" s="221">
        <f t="shared" si="15"/>
        <v>18</v>
      </c>
      <c r="C41" s="221"/>
      <c r="D41" s="205">
        <f t="shared" si="16"/>
        <v>22065.578579811561</v>
      </c>
      <c r="E41" s="222">
        <f t="shared" si="17"/>
        <v>3486.0537244974266</v>
      </c>
      <c r="F41" s="222"/>
      <c r="G41" s="222">
        <f t="shared" si="18"/>
        <v>25551.632304308987</v>
      </c>
      <c r="H41" s="222"/>
      <c r="I41" s="202"/>
      <c r="J41" s="53"/>
      <c r="K41" s="136"/>
      <c r="L41" s="56"/>
      <c r="M41" s="54"/>
      <c r="N41" s="54"/>
      <c r="O41" s="125"/>
      <c r="Q41" s="192" t="s">
        <v>280</v>
      </c>
      <c r="R41" s="197">
        <f ca="1">IF(V26=12,XIRR(AA3:AA15,AB3:AB15),IF(V26=24,XIRR(AA3:AA27,AB3:AB27),IF(V26=36,XIRR(AA3:AA39,AB3:AB39),IF(V26=48,XIRR(AA3:AA51,AB3:AB51),IF(V26=60,XIRR(AA3:AA63,AB3:AB63),IF(V26=72,XIRR(AA3:AA75,AB3:AB75),IF(V26=84,XIRR(AA3:AA87,AB3:AB87))))))))</f>
        <v>0.33920091986656187</v>
      </c>
      <c r="S41" s="74"/>
      <c r="T41" s="74"/>
      <c r="U41" s="74"/>
      <c r="V41" s="74"/>
      <c r="W41" s="74"/>
      <c r="X41" s="74"/>
      <c r="Y41" s="74"/>
      <c r="AA41" s="196" t="str">
        <f t="shared" si="0"/>
        <v>-</v>
      </c>
      <c r="AB41" s="185" t="str">
        <f t="shared" si="6"/>
        <v>-</v>
      </c>
      <c r="AC41" s="235">
        <f t="shared" si="14"/>
        <v>38</v>
      </c>
      <c r="AD41" s="236"/>
      <c r="AE41" s="83" t="str">
        <f t="shared" si="7"/>
        <v>-</v>
      </c>
      <c r="AF41" s="84"/>
      <c r="AG41" s="241" t="str">
        <f t="shared" si="8"/>
        <v>-</v>
      </c>
      <c r="AH41" s="242"/>
      <c r="AI41" s="243" t="str">
        <f t="shared" si="9"/>
        <v>-</v>
      </c>
      <c r="AJ41" s="244"/>
      <c r="AK41" s="85">
        <f t="shared" ca="1" si="1"/>
        <v>47269</v>
      </c>
      <c r="AL41" s="235">
        <v>38</v>
      </c>
      <c r="AM41" s="236"/>
      <c r="AN41" s="86">
        <f t="shared" si="2"/>
        <v>22222.222222222223</v>
      </c>
      <c r="AO41" s="87"/>
      <c r="AP41" s="237">
        <f t="shared" ca="1" si="3"/>
        <v>-177.96296296296768</v>
      </c>
      <c r="AQ41" s="238"/>
      <c r="AR41" s="239">
        <f t="shared" ca="1" si="4"/>
        <v>22044.259259259255</v>
      </c>
      <c r="AS41" s="240"/>
      <c r="AT41" s="87">
        <f t="shared" ca="1" si="10"/>
        <v>-22222.222222222812</v>
      </c>
      <c r="AU41" s="75" t="str">
        <f t="shared" si="5"/>
        <v>-</v>
      </c>
    </row>
    <row r="42" spans="1:50" ht="14.1" customHeight="1" x14ac:dyDescent="0.25">
      <c r="A42" s="43"/>
      <c r="B42" s="221">
        <f t="shared" si="15"/>
        <v>19</v>
      </c>
      <c r="C42" s="221"/>
      <c r="D42" s="205">
        <f t="shared" si="16"/>
        <v>22236.586813805105</v>
      </c>
      <c r="E42" s="222">
        <f t="shared" si="17"/>
        <v>3315.045490503886</v>
      </c>
      <c r="F42" s="222"/>
      <c r="G42" s="222">
        <f t="shared" si="18"/>
        <v>25551.632304308991</v>
      </c>
      <c r="H42" s="222"/>
      <c r="I42" s="202"/>
      <c r="J42" s="53"/>
      <c r="K42" s="55"/>
      <c r="L42" s="56"/>
      <c r="M42" s="54"/>
      <c r="N42" s="54"/>
      <c r="O42" s="125"/>
      <c r="R42" s="63"/>
      <c r="S42" s="74"/>
      <c r="T42" s="74"/>
      <c r="U42" s="74"/>
      <c r="V42" s="74"/>
      <c r="W42" s="74"/>
      <c r="X42" s="74"/>
      <c r="Y42" s="74"/>
      <c r="AA42" s="196" t="str">
        <f t="shared" si="0"/>
        <v>-</v>
      </c>
      <c r="AB42" s="185" t="str">
        <f t="shared" si="6"/>
        <v>-</v>
      </c>
      <c r="AC42" s="235">
        <f t="shared" si="14"/>
        <v>39</v>
      </c>
      <c r="AD42" s="236"/>
      <c r="AE42" s="83" t="str">
        <f t="shared" si="7"/>
        <v>-</v>
      </c>
      <c r="AF42" s="84"/>
      <c r="AG42" s="241" t="str">
        <f t="shared" si="8"/>
        <v>-</v>
      </c>
      <c r="AH42" s="242"/>
      <c r="AI42" s="243" t="str">
        <f t="shared" si="9"/>
        <v>-</v>
      </c>
      <c r="AJ42" s="244"/>
      <c r="AK42" s="85">
        <f t="shared" ca="1" si="1"/>
        <v>47299</v>
      </c>
      <c r="AL42" s="235">
        <v>39</v>
      </c>
      <c r="AM42" s="236"/>
      <c r="AN42" s="86">
        <f t="shared" si="2"/>
        <v>22222.222222222223</v>
      </c>
      <c r="AO42" s="87"/>
      <c r="AP42" s="237">
        <f t="shared" ca="1" si="3"/>
        <v>-344.44444444444906</v>
      </c>
      <c r="AQ42" s="238"/>
      <c r="AR42" s="239">
        <f t="shared" ca="1" si="4"/>
        <v>21877.777777777774</v>
      </c>
      <c r="AS42" s="240"/>
      <c r="AT42" s="87">
        <f t="shared" ca="1" si="10"/>
        <v>-44444.444444445035</v>
      </c>
      <c r="AU42" s="75" t="str">
        <f t="shared" si="5"/>
        <v>-</v>
      </c>
    </row>
    <row r="43" spans="1:50" ht="14.1" customHeight="1" x14ac:dyDescent="0.25">
      <c r="A43" s="43"/>
      <c r="B43" s="221">
        <f t="shared" si="15"/>
        <v>20</v>
      </c>
      <c r="C43" s="221"/>
      <c r="D43" s="205">
        <f t="shared" si="16"/>
        <v>22408.920361612094</v>
      </c>
      <c r="E43" s="222">
        <f t="shared" si="17"/>
        <v>3142.711942696897</v>
      </c>
      <c r="F43" s="222"/>
      <c r="G43" s="222">
        <f t="shared" si="18"/>
        <v>25551.632304308991</v>
      </c>
      <c r="H43" s="222"/>
      <c r="I43" s="202"/>
      <c r="J43" s="53"/>
      <c r="K43" s="55"/>
      <c r="L43" s="56"/>
      <c r="M43" s="54"/>
      <c r="N43" s="54"/>
      <c r="O43" s="137"/>
      <c r="S43" s="74"/>
      <c r="T43" s="74"/>
      <c r="U43" s="74"/>
      <c r="V43" s="74"/>
      <c r="W43" s="74"/>
      <c r="X43" s="74"/>
      <c r="Y43" s="74"/>
      <c r="AA43" s="196" t="str">
        <f t="shared" si="0"/>
        <v>-</v>
      </c>
      <c r="AB43" s="185" t="str">
        <f t="shared" si="6"/>
        <v>-</v>
      </c>
      <c r="AC43" s="235">
        <f>AC42+1</f>
        <v>40</v>
      </c>
      <c r="AD43" s="236"/>
      <c r="AE43" s="83" t="str">
        <f t="shared" si="7"/>
        <v>-</v>
      </c>
      <c r="AF43" s="84"/>
      <c r="AG43" s="241" t="str">
        <f t="shared" si="8"/>
        <v>-</v>
      </c>
      <c r="AH43" s="242"/>
      <c r="AI43" s="243" t="str">
        <f t="shared" si="9"/>
        <v>-</v>
      </c>
      <c r="AJ43" s="244"/>
      <c r="AK43" s="85">
        <f t="shared" ca="1" si="1"/>
        <v>47330</v>
      </c>
      <c r="AL43" s="235">
        <v>40</v>
      </c>
      <c r="AM43" s="236"/>
      <c r="AN43" s="86">
        <f t="shared" si="2"/>
        <v>22222.222222222223</v>
      </c>
      <c r="AO43" s="87"/>
      <c r="AP43" s="237">
        <f t="shared" ca="1" si="3"/>
        <v>-533.88888888889358</v>
      </c>
      <c r="AQ43" s="238"/>
      <c r="AR43" s="239">
        <f t="shared" ca="1" si="4"/>
        <v>21688.333333333328</v>
      </c>
      <c r="AS43" s="240"/>
      <c r="AT43" s="87">
        <f t="shared" ca="1" si="10"/>
        <v>-66666.666666667254</v>
      </c>
      <c r="AU43" s="75" t="str">
        <f t="shared" si="5"/>
        <v>-</v>
      </c>
    </row>
    <row r="44" spans="1:50" ht="14.1" customHeight="1" x14ac:dyDescent="0.25">
      <c r="A44" s="43"/>
      <c r="B44" s="221">
        <f t="shared" si="15"/>
        <v>21</v>
      </c>
      <c r="C44" s="221"/>
      <c r="D44" s="205">
        <f t="shared" si="16"/>
        <v>22582.589494414588</v>
      </c>
      <c r="E44" s="222">
        <f t="shared" si="17"/>
        <v>2969.0428098944035</v>
      </c>
      <c r="F44" s="222"/>
      <c r="G44" s="222">
        <f t="shared" si="18"/>
        <v>25551.632304308991</v>
      </c>
      <c r="H44" s="222"/>
      <c r="I44" s="202"/>
      <c r="J44" s="53"/>
      <c r="K44" s="55"/>
      <c r="L44" s="56"/>
      <c r="M44" s="54"/>
      <c r="N44" s="54"/>
      <c r="O44" s="137"/>
      <c r="S44" s="74"/>
      <c r="T44" s="74"/>
      <c r="U44" s="74"/>
      <c r="V44" s="74"/>
      <c r="W44" s="74"/>
      <c r="X44" s="74"/>
      <c r="Y44" s="74"/>
      <c r="AA44" s="196" t="str">
        <f t="shared" si="0"/>
        <v>-</v>
      </c>
      <c r="AB44" s="185" t="str">
        <f t="shared" si="6"/>
        <v>-</v>
      </c>
      <c r="AC44" s="235">
        <f t="shared" si="14"/>
        <v>41</v>
      </c>
      <c r="AD44" s="236"/>
      <c r="AE44" s="83" t="str">
        <f t="shared" si="7"/>
        <v>-</v>
      </c>
      <c r="AF44" s="84"/>
      <c r="AG44" s="241" t="str">
        <f t="shared" si="8"/>
        <v>-</v>
      </c>
      <c r="AH44" s="242"/>
      <c r="AI44" s="243" t="str">
        <f t="shared" si="9"/>
        <v>-</v>
      </c>
      <c r="AJ44" s="244"/>
      <c r="AK44" s="85">
        <f t="shared" ca="1" si="1"/>
        <v>47361</v>
      </c>
      <c r="AL44" s="235">
        <v>41</v>
      </c>
      <c r="AM44" s="236"/>
      <c r="AN44" s="86">
        <f t="shared" si="2"/>
        <v>22222.222222222223</v>
      </c>
      <c r="AO44" s="87"/>
      <c r="AP44" s="237">
        <f t="shared" ca="1" si="3"/>
        <v>-711.85185185185662</v>
      </c>
      <c r="AQ44" s="238"/>
      <c r="AR44" s="239">
        <f t="shared" ca="1" si="4"/>
        <v>21510.370370370365</v>
      </c>
      <c r="AS44" s="240"/>
      <c r="AT44" s="87">
        <f t="shared" ca="1" si="10"/>
        <v>-88888.888888889473</v>
      </c>
      <c r="AU44" s="75" t="str">
        <f t="shared" si="5"/>
        <v>-</v>
      </c>
    </row>
    <row r="45" spans="1:50" ht="14.1" customHeight="1" x14ac:dyDescent="0.25">
      <c r="A45" s="43"/>
      <c r="B45" s="221">
        <f t="shared" si="15"/>
        <v>22</v>
      </c>
      <c r="C45" s="221"/>
      <c r="D45" s="205">
        <f t="shared" si="16"/>
        <v>22757.604562996301</v>
      </c>
      <c r="E45" s="222">
        <f t="shared" si="17"/>
        <v>2794.0277413126905</v>
      </c>
      <c r="F45" s="222"/>
      <c r="G45" s="222">
        <f t="shared" si="18"/>
        <v>25551.632304308991</v>
      </c>
      <c r="H45" s="222"/>
      <c r="I45" s="202"/>
      <c r="J45" s="53"/>
      <c r="K45" s="55"/>
      <c r="L45" s="56"/>
      <c r="M45" s="54"/>
      <c r="N45" s="54"/>
      <c r="O45" s="137"/>
      <c r="S45" s="74"/>
      <c r="T45" s="74"/>
      <c r="U45" s="74"/>
      <c r="V45" s="74"/>
      <c r="W45" s="74"/>
      <c r="X45" s="74"/>
      <c r="Y45" s="74"/>
      <c r="AA45" s="196" t="str">
        <f t="shared" si="0"/>
        <v>-</v>
      </c>
      <c r="AB45" s="185" t="str">
        <f t="shared" si="6"/>
        <v>-</v>
      </c>
      <c r="AC45" s="235">
        <f t="shared" si="14"/>
        <v>42</v>
      </c>
      <c r="AD45" s="236"/>
      <c r="AE45" s="83" t="str">
        <f t="shared" si="7"/>
        <v>-</v>
      </c>
      <c r="AF45" s="84"/>
      <c r="AG45" s="241" t="str">
        <f t="shared" si="8"/>
        <v>-</v>
      </c>
      <c r="AH45" s="242"/>
      <c r="AI45" s="243" t="str">
        <f t="shared" si="9"/>
        <v>-</v>
      </c>
      <c r="AJ45" s="244"/>
      <c r="AK45" s="85">
        <f t="shared" ca="1" si="1"/>
        <v>47391</v>
      </c>
      <c r="AL45" s="235">
        <v>42</v>
      </c>
      <c r="AM45" s="236"/>
      <c r="AN45" s="86">
        <f t="shared" si="2"/>
        <v>22222.222222222223</v>
      </c>
      <c r="AO45" s="87"/>
      <c r="AP45" s="237">
        <f t="shared" ca="1" si="3"/>
        <v>-861.11111111111563</v>
      </c>
      <c r="AQ45" s="238"/>
      <c r="AR45" s="239">
        <f t="shared" ca="1" si="4"/>
        <v>21361.111111111106</v>
      </c>
      <c r="AS45" s="240"/>
      <c r="AT45" s="87">
        <f t="shared" ca="1" si="10"/>
        <v>-111111.11111111169</v>
      </c>
      <c r="AU45" s="75" t="str">
        <f t="shared" si="5"/>
        <v>-</v>
      </c>
    </row>
    <row r="46" spans="1:50" ht="14.1" customHeight="1" x14ac:dyDescent="0.25">
      <c r="A46" s="43"/>
      <c r="B46" s="221">
        <f t="shared" si="15"/>
        <v>23</v>
      </c>
      <c r="C46" s="221"/>
      <c r="D46" s="205">
        <f t="shared" si="16"/>
        <v>22933.975998359518</v>
      </c>
      <c r="E46" s="222">
        <f t="shared" si="17"/>
        <v>2617.6563059494692</v>
      </c>
      <c r="F46" s="222"/>
      <c r="G46" s="222">
        <f t="shared" si="18"/>
        <v>25551.632304308987</v>
      </c>
      <c r="H46" s="222"/>
      <c r="I46" s="202"/>
      <c r="J46" s="113"/>
      <c r="K46" s="55"/>
      <c r="L46" s="55"/>
      <c r="M46" s="50"/>
      <c r="N46" s="138"/>
      <c r="O46" s="137"/>
      <c r="P46" s="139"/>
      <c r="S46" s="74"/>
      <c r="T46" s="74"/>
      <c r="U46" s="74"/>
      <c r="V46" s="74"/>
      <c r="W46" s="74"/>
      <c r="X46" s="74"/>
      <c r="Y46" s="74"/>
      <c r="AA46" s="196" t="str">
        <f t="shared" si="0"/>
        <v>-</v>
      </c>
      <c r="AB46" s="185" t="str">
        <f t="shared" si="6"/>
        <v>-</v>
      </c>
      <c r="AC46" s="235">
        <f t="shared" si="14"/>
        <v>43</v>
      </c>
      <c r="AD46" s="236"/>
      <c r="AE46" s="83" t="str">
        <f t="shared" si="7"/>
        <v>-</v>
      </c>
      <c r="AF46" s="84"/>
      <c r="AG46" s="241" t="str">
        <f t="shared" si="8"/>
        <v>-</v>
      </c>
      <c r="AH46" s="242"/>
      <c r="AI46" s="243" t="str">
        <f t="shared" si="9"/>
        <v>-</v>
      </c>
      <c r="AJ46" s="244"/>
      <c r="AK46" s="85">
        <f t="shared" ca="1" si="1"/>
        <v>47422</v>
      </c>
      <c r="AL46" s="235">
        <v>43</v>
      </c>
      <c r="AM46" s="236"/>
      <c r="AN46" s="86">
        <f t="shared" si="2"/>
        <v>22222.222222222223</v>
      </c>
      <c r="AO46" s="87"/>
      <c r="AP46" s="237">
        <f t="shared" ca="1" si="3"/>
        <v>-1067.7777777777826</v>
      </c>
      <c r="AQ46" s="238"/>
      <c r="AR46" s="239">
        <f t="shared" ca="1" si="4"/>
        <v>21154.444444444442</v>
      </c>
      <c r="AS46" s="240"/>
      <c r="AT46" s="87">
        <f t="shared" ca="1" si="10"/>
        <v>-133333.33333333393</v>
      </c>
      <c r="AU46" s="75" t="str">
        <f t="shared" si="5"/>
        <v>-</v>
      </c>
    </row>
    <row r="47" spans="1:50" ht="14.1" customHeight="1" x14ac:dyDescent="0.25">
      <c r="A47" s="43"/>
      <c r="B47" s="221">
        <f t="shared" si="15"/>
        <v>24</v>
      </c>
      <c r="C47" s="221"/>
      <c r="D47" s="205">
        <f t="shared" si="16"/>
        <v>23111.714312346805</v>
      </c>
      <c r="E47" s="222">
        <f t="shared" si="17"/>
        <v>2439.9179919621829</v>
      </c>
      <c r="F47" s="222"/>
      <c r="G47" s="222">
        <f t="shared" si="18"/>
        <v>25551.632304308987</v>
      </c>
      <c r="H47" s="222"/>
      <c r="I47" s="202"/>
      <c r="J47" s="113"/>
      <c r="K47" s="55"/>
      <c r="L47" s="55"/>
      <c r="M47" s="50"/>
      <c r="N47" s="138"/>
      <c r="O47" s="137"/>
      <c r="P47" s="139"/>
      <c r="Q47" s="62">
        <f>IF(E4&gt;1500000,Q48,Q53)</f>
        <v>800000</v>
      </c>
      <c r="S47" s="74"/>
      <c r="T47" s="74"/>
      <c r="U47" s="74"/>
      <c r="V47" s="74"/>
      <c r="W47" s="74"/>
      <c r="X47" s="74"/>
      <c r="Y47" s="74"/>
      <c r="AA47" s="196" t="str">
        <f t="shared" si="0"/>
        <v>-</v>
      </c>
      <c r="AB47" s="185" t="str">
        <f t="shared" si="6"/>
        <v>-</v>
      </c>
      <c r="AC47" s="235">
        <f t="shared" si="14"/>
        <v>44</v>
      </c>
      <c r="AD47" s="236"/>
      <c r="AE47" s="83" t="str">
        <f t="shared" si="7"/>
        <v>-</v>
      </c>
      <c r="AF47" s="84"/>
      <c r="AG47" s="241" t="str">
        <f t="shared" si="8"/>
        <v>-</v>
      </c>
      <c r="AH47" s="242"/>
      <c r="AI47" s="243" t="str">
        <f t="shared" si="9"/>
        <v>-</v>
      </c>
      <c r="AJ47" s="244"/>
      <c r="AK47" s="85">
        <f t="shared" ca="1" si="1"/>
        <v>47452</v>
      </c>
      <c r="AL47" s="235">
        <v>44</v>
      </c>
      <c r="AM47" s="236"/>
      <c r="AN47" s="86">
        <f t="shared" si="2"/>
        <v>22222.222222222223</v>
      </c>
      <c r="AO47" s="87"/>
      <c r="AP47" s="237">
        <f t="shared" ca="1" si="3"/>
        <v>-1205.5555555555602</v>
      </c>
      <c r="AQ47" s="238"/>
      <c r="AR47" s="239">
        <f t="shared" ca="1" si="4"/>
        <v>21016.666666666664</v>
      </c>
      <c r="AS47" s="240"/>
      <c r="AT47" s="87">
        <f t="shared" ca="1" si="10"/>
        <v>-155555.55555555614</v>
      </c>
      <c r="AU47" s="75" t="str">
        <f t="shared" si="5"/>
        <v>-</v>
      </c>
    </row>
    <row r="48" spans="1:50" ht="14.1" customHeight="1" x14ac:dyDescent="0.25">
      <c r="A48" s="43"/>
      <c r="B48" s="221">
        <f>IF(E12=24,"Всього:",IF(B47&lt;$E$12,B47+1,""))</f>
        <v>25</v>
      </c>
      <c r="C48" s="221"/>
      <c r="D48" s="205">
        <f>IF(E12=24,SUM(D24:D47),IF(B47&lt;$E$12,AE28,""))</f>
        <v>23290.830098267495</v>
      </c>
      <c r="E48" s="222">
        <f>IF(E12=24,SUM(E24:F47),IF(B47&lt;$E$12,AG28,""))</f>
        <v>2260.8022060414946</v>
      </c>
      <c r="F48" s="222"/>
      <c r="G48" s="222">
        <f>IF(E12=24,SUM(G24:H47),IF(B47&lt;$E$12,AI28,""))</f>
        <v>25551.632304308991</v>
      </c>
      <c r="H48" s="222"/>
      <c r="I48" s="202"/>
      <c r="J48" s="113"/>
      <c r="K48" s="55"/>
      <c r="L48" s="55"/>
      <c r="M48" s="50"/>
      <c r="N48" s="138"/>
      <c r="O48" s="137"/>
      <c r="P48" s="139"/>
      <c r="Q48" s="62" t="str">
        <f>IF(R9&gt;0.7,"Не достатня сума авансу",Q49)</f>
        <v>Не достатня сума авансу</v>
      </c>
      <c r="S48" s="74"/>
      <c r="T48" s="74"/>
      <c r="U48" s="74"/>
      <c r="V48" s="74"/>
      <c r="W48" s="74"/>
      <c r="X48" s="74"/>
      <c r="Y48" s="74"/>
      <c r="AA48" s="196" t="str">
        <f t="shared" si="0"/>
        <v>-</v>
      </c>
      <c r="AB48" s="185" t="str">
        <f t="shared" si="6"/>
        <v>-</v>
      </c>
      <c r="AC48" s="235">
        <f t="shared" si="14"/>
        <v>45</v>
      </c>
      <c r="AD48" s="236"/>
      <c r="AE48" s="83" t="str">
        <f t="shared" si="7"/>
        <v>-</v>
      </c>
      <c r="AF48" s="84"/>
      <c r="AG48" s="241" t="str">
        <f t="shared" si="8"/>
        <v>-</v>
      </c>
      <c r="AH48" s="242"/>
      <c r="AI48" s="243" t="str">
        <f t="shared" si="9"/>
        <v>-</v>
      </c>
      <c r="AJ48" s="244"/>
      <c r="AK48" s="85">
        <f t="shared" ca="1" si="1"/>
        <v>47483</v>
      </c>
      <c r="AL48" s="235">
        <v>45</v>
      </c>
      <c r="AM48" s="236"/>
      <c r="AN48" s="86">
        <f t="shared" si="2"/>
        <v>22222.222222222223</v>
      </c>
      <c r="AO48" s="87"/>
      <c r="AP48" s="237">
        <f t="shared" ca="1" si="3"/>
        <v>-1423.7037037037082</v>
      </c>
      <c r="AQ48" s="238"/>
      <c r="AR48" s="239">
        <f t="shared" ca="1" si="4"/>
        <v>20798.518518518515</v>
      </c>
      <c r="AS48" s="240"/>
      <c r="AT48" s="87">
        <f t="shared" ca="1" si="10"/>
        <v>-177777.77777777836</v>
      </c>
      <c r="AU48" s="75" t="str">
        <f t="shared" si="5"/>
        <v>-</v>
      </c>
    </row>
    <row r="49" spans="1:50" ht="14.1" customHeight="1" x14ac:dyDescent="0.25">
      <c r="A49" s="43"/>
      <c r="B49" s="221">
        <f t="shared" si="15"/>
        <v>26</v>
      </c>
      <c r="C49" s="221"/>
      <c r="D49" s="205">
        <f t="shared" ref="D49:D59" si="19">IF(B48&lt;$E$12,AE29,"")</f>
        <v>23471.334031529066</v>
      </c>
      <c r="E49" s="222">
        <f t="shared" ref="E49:E59" si="20">IF(B48&lt;$E$12,AG29,"")</f>
        <v>2080.2982727799217</v>
      </c>
      <c r="F49" s="222"/>
      <c r="G49" s="222">
        <f t="shared" ref="G49:G59" si="21">IF(B48&lt;$E$12,AI29,"")</f>
        <v>25551.632304308987</v>
      </c>
      <c r="H49" s="222"/>
      <c r="I49" s="202"/>
      <c r="J49" s="53"/>
      <c r="K49" s="55"/>
      <c r="L49" s="55"/>
      <c r="M49" s="50"/>
      <c r="N49" s="138"/>
      <c r="O49" s="137"/>
      <c r="Q49" s="62">
        <f>IF(E4&gt;2500000,Q50,Q53)</f>
        <v>800000</v>
      </c>
      <c r="S49" s="74"/>
      <c r="T49" s="74"/>
      <c r="U49" s="74"/>
      <c r="V49" s="74"/>
      <c r="W49" s="74"/>
      <c r="X49" s="74"/>
      <c r="Y49" s="74"/>
      <c r="AA49" s="196" t="str">
        <f t="shared" si="0"/>
        <v>-</v>
      </c>
      <c r="AB49" s="185" t="str">
        <f t="shared" si="6"/>
        <v>-</v>
      </c>
      <c r="AC49" s="235">
        <f t="shared" si="14"/>
        <v>46</v>
      </c>
      <c r="AD49" s="236"/>
      <c r="AE49" s="83" t="str">
        <f t="shared" si="7"/>
        <v>-</v>
      </c>
      <c r="AF49" s="84"/>
      <c r="AG49" s="241" t="str">
        <f t="shared" si="8"/>
        <v>-</v>
      </c>
      <c r="AH49" s="242"/>
      <c r="AI49" s="243" t="str">
        <f t="shared" si="9"/>
        <v>-</v>
      </c>
      <c r="AJ49" s="244"/>
      <c r="AK49" s="85">
        <f t="shared" ca="1" si="1"/>
        <v>47514</v>
      </c>
      <c r="AL49" s="235">
        <v>46</v>
      </c>
      <c r="AM49" s="236"/>
      <c r="AN49" s="86">
        <f t="shared" si="2"/>
        <v>22222.222222222223</v>
      </c>
      <c r="AO49" s="87"/>
      <c r="AP49" s="237">
        <f t="shared" ca="1" si="3"/>
        <v>-1601.6666666666715</v>
      </c>
      <c r="AQ49" s="238"/>
      <c r="AR49" s="239">
        <f t="shared" ca="1" si="4"/>
        <v>20620.555555555551</v>
      </c>
      <c r="AS49" s="240"/>
      <c r="AT49" s="87">
        <f t="shared" ca="1" si="10"/>
        <v>-200000.00000000058</v>
      </c>
      <c r="AU49" s="75" t="str">
        <f t="shared" si="5"/>
        <v>-</v>
      </c>
    </row>
    <row r="50" spans="1:50" ht="14.1" customHeight="1" thickBot="1" x14ac:dyDescent="0.3">
      <c r="A50" s="43"/>
      <c r="B50" s="221">
        <f t="shared" si="15"/>
        <v>27</v>
      </c>
      <c r="C50" s="221"/>
      <c r="D50" s="205">
        <f t="shared" si="19"/>
        <v>23653.236870273417</v>
      </c>
      <c r="E50" s="222">
        <f t="shared" si="20"/>
        <v>1898.3954340355717</v>
      </c>
      <c r="F50" s="222"/>
      <c r="G50" s="222">
        <f t="shared" si="21"/>
        <v>25551.632304308987</v>
      </c>
      <c r="H50" s="222"/>
      <c r="I50" s="202"/>
      <c r="J50" s="53"/>
      <c r="K50" s="55"/>
      <c r="L50" s="55"/>
      <c r="M50" s="50"/>
      <c r="N50" s="138"/>
      <c r="O50" s="137"/>
      <c r="Q50" s="62" t="str">
        <f>IF(R9&gt;0.6,"Не достатня сума авансу",Q53)</f>
        <v>Не достатня сума авансу</v>
      </c>
      <c r="S50" s="74"/>
      <c r="AA50" s="196" t="str">
        <f t="shared" si="0"/>
        <v>-</v>
      </c>
      <c r="AB50" s="185" t="str">
        <f t="shared" si="6"/>
        <v>-</v>
      </c>
      <c r="AC50" s="235">
        <f t="shared" si="14"/>
        <v>47</v>
      </c>
      <c r="AD50" s="236"/>
      <c r="AE50" s="83" t="str">
        <f t="shared" si="7"/>
        <v>-</v>
      </c>
      <c r="AF50" s="84"/>
      <c r="AG50" s="241" t="str">
        <f t="shared" si="8"/>
        <v>-</v>
      </c>
      <c r="AH50" s="242"/>
      <c r="AI50" s="243" t="str">
        <f t="shared" si="9"/>
        <v>-</v>
      </c>
      <c r="AJ50" s="244"/>
      <c r="AK50" s="85">
        <f t="shared" ca="1" si="1"/>
        <v>47542</v>
      </c>
      <c r="AL50" s="235">
        <v>47</v>
      </c>
      <c r="AM50" s="236"/>
      <c r="AN50" s="86">
        <f t="shared" si="2"/>
        <v>22222.222222222223</v>
      </c>
      <c r="AO50" s="87"/>
      <c r="AP50" s="237">
        <f t="shared" ca="1" si="3"/>
        <v>-1607.4074074074119</v>
      </c>
      <c r="AQ50" s="238"/>
      <c r="AR50" s="239">
        <f t="shared" ca="1" si="4"/>
        <v>20614.81481481481</v>
      </c>
      <c r="AS50" s="240"/>
      <c r="AT50" s="87">
        <f t="shared" ca="1" si="10"/>
        <v>-222222.2222222228</v>
      </c>
      <c r="AU50" s="75" t="str">
        <f t="shared" si="5"/>
        <v>-</v>
      </c>
    </row>
    <row r="51" spans="1:50" ht="14.1" customHeight="1" x14ac:dyDescent="0.25">
      <c r="A51" s="43"/>
      <c r="B51" s="221">
        <f t="shared" si="15"/>
        <v>28</v>
      </c>
      <c r="C51" s="221"/>
      <c r="D51" s="205">
        <f t="shared" si="19"/>
        <v>23836.549456018038</v>
      </c>
      <c r="E51" s="222">
        <f t="shared" si="20"/>
        <v>1715.0828482909526</v>
      </c>
      <c r="F51" s="222"/>
      <c r="G51" s="222">
        <f t="shared" si="21"/>
        <v>25551.632304308991</v>
      </c>
      <c r="H51" s="222"/>
      <c r="I51" s="202"/>
      <c r="J51" s="53"/>
      <c r="K51" s="140" t="s">
        <v>281</v>
      </c>
      <c r="L51" s="55"/>
      <c r="M51" s="54"/>
      <c r="N51" s="138"/>
      <c r="O51" s="137"/>
      <c r="S51" s="74"/>
      <c r="AA51" s="196" t="str">
        <f>IFERROR(AI51+Z52,"-")</f>
        <v>-</v>
      </c>
      <c r="AB51" s="185" t="str">
        <f t="shared" si="6"/>
        <v>-</v>
      </c>
      <c r="AC51" s="235">
        <f t="shared" si="14"/>
        <v>48</v>
      </c>
      <c r="AD51" s="236"/>
      <c r="AE51" s="83" t="str">
        <f t="shared" si="7"/>
        <v>-</v>
      </c>
      <c r="AF51" s="84"/>
      <c r="AG51" s="241" t="str">
        <f t="shared" si="8"/>
        <v>-</v>
      </c>
      <c r="AH51" s="242"/>
      <c r="AI51" s="243" t="str">
        <f t="shared" si="9"/>
        <v>-</v>
      </c>
      <c r="AJ51" s="244"/>
      <c r="AK51" s="85">
        <f t="shared" ca="1" si="1"/>
        <v>47573</v>
      </c>
      <c r="AL51" s="235">
        <v>48</v>
      </c>
      <c r="AM51" s="236"/>
      <c r="AN51" s="86">
        <f t="shared" si="2"/>
        <v>22222.222222222223</v>
      </c>
      <c r="AO51" s="87"/>
      <c r="AP51" s="237">
        <f t="shared" ca="1" si="3"/>
        <v>-1957.5925925925976</v>
      </c>
      <c r="AQ51" s="238"/>
      <c r="AR51" s="239">
        <f t="shared" ca="1" si="4"/>
        <v>20264.629629629624</v>
      </c>
      <c r="AS51" s="240"/>
      <c r="AT51" s="87">
        <f t="shared" ca="1" si="10"/>
        <v>-244444.44444444502</v>
      </c>
      <c r="AU51" s="75" t="str">
        <f t="shared" si="5"/>
        <v>-</v>
      </c>
    </row>
    <row r="52" spans="1:50" ht="14.1" customHeight="1" x14ac:dyDescent="0.25">
      <c r="A52" s="43"/>
      <c r="B52" s="221">
        <f t="shared" si="15"/>
        <v>29</v>
      </c>
      <c r="C52" s="221"/>
      <c r="D52" s="205">
        <f t="shared" si="19"/>
        <v>24021.282714302175</v>
      </c>
      <c r="E52" s="222">
        <f t="shared" si="20"/>
        <v>1530.3495900068128</v>
      </c>
      <c r="F52" s="222"/>
      <c r="G52" s="222">
        <f t="shared" si="21"/>
        <v>25551.632304308987</v>
      </c>
      <c r="H52" s="222"/>
      <c r="I52" s="202"/>
      <c r="J52" s="53"/>
      <c r="K52" s="141"/>
      <c r="L52" s="55"/>
      <c r="M52" s="54"/>
      <c r="N52" s="138"/>
      <c r="O52" s="137"/>
      <c r="S52" s="74"/>
      <c r="T52" s="74"/>
      <c r="U52" s="74"/>
      <c r="Z52" s="116">
        <f>IF($V$26&gt;AC52,$E$4*0.9*0.9*0.9*0.9*T33,0)</f>
        <v>0</v>
      </c>
      <c r="AA52" s="196" t="str">
        <f t="shared" si="0"/>
        <v>-</v>
      </c>
      <c r="AB52" s="185" t="str">
        <f t="shared" si="6"/>
        <v>-</v>
      </c>
      <c r="AC52" s="235">
        <f t="shared" si="14"/>
        <v>49</v>
      </c>
      <c r="AD52" s="236"/>
      <c r="AE52" s="83" t="str">
        <f t="shared" si="7"/>
        <v>-</v>
      </c>
      <c r="AF52" s="84"/>
      <c r="AG52" s="241" t="str">
        <f t="shared" si="8"/>
        <v>-</v>
      </c>
      <c r="AH52" s="242"/>
      <c r="AI52" s="243" t="str">
        <f t="shared" si="9"/>
        <v>-</v>
      </c>
      <c r="AJ52" s="244"/>
      <c r="AK52" s="85">
        <f t="shared" ca="1" si="1"/>
        <v>47603</v>
      </c>
      <c r="AL52" s="235">
        <v>49</v>
      </c>
      <c r="AM52" s="236"/>
      <c r="AN52" s="86">
        <f t="shared" si="2"/>
        <v>22222.222222222223</v>
      </c>
      <c r="AO52" s="87"/>
      <c r="AP52" s="237">
        <f t="shared" ca="1" si="3"/>
        <v>-2066.6666666666711</v>
      </c>
      <c r="AQ52" s="238"/>
      <c r="AR52" s="239">
        <f t="shared" ca="1" si="4"/>
        <v>20155.555555555551</v>
      </c>
      <c r="AS52" s="240"/>
      <c r="AT52" s="87">
        <f t="shared" ca="1" si="10"/>
        <v>-266666.66666666727</v>
      </c>
      <c r="AU52" s="75" t="e">
        <f>AI52+AW52+AX52</f>
        <v>#VALUE!</v>
      </c>
      <c r="AW52" s="63" t="str">
        <f>IF($E$12&gt;$R$5,$E$4*0.9*0.9*0.9*0.9*5.5%,"")</f>
        <v/>
      </c>
      <c r="AX52" s="63" t="e">
        <f>IF(#REF!=0,0,IF($E$12&gt;$R$5,(AE90-SUM(AE4:AE51))*0.0299,""))</f>
        <v>#REF!</v>
      </c>
    </row>
    <row r="53" spans="1:50" ht="14.1" customHeight="1" thickBot="1" x14ac:dyDescent="0.3">
      <c r="A53" s="43"/>
      <c r="B53" s="221">
        <f t="shared" si="15"/>
        <v>30</v>
      </c>
      <c r="C53" s="221"/>
      <c r="D53" s="205">
        <f t="shared" si="19"/>
        <v>24207.447655338015</v>
      </c>
      <c r="E53" s="222">
        <f t="shared" si="20"/>
        <v>1344.184648970971</v>
      </c>
      <c r="F53" s="222"/>
      <c r="G53" s="222">
        <f t="shared" si="21"/>
        <v>25551.632304308987</v>
      </c>
      <c r="H53" s="222"/>
      <c r="I53" s="202"/>
      <c r="J53" s="53"/>
      <c r="K53" s="142"/>
      <c r="L53" s="55"/>
      <c r="M53" s="50"/>
      <c r="N53" s="138"/>
      <c r="O53" s="137"/>
      <c r="Q53" s="62">
        <f>IF(X4=3,0,IF(R16&gt;2500000,"Сума кредиту не може перевищувати 2 500 000 грн",IF(R16&lt;100000,"Сума кредиту не може бути менше 100 000 грн",R16)))</f>
        <v>800000</v>
      </c>
      <c r="S53" s="74"/>
      <c r="AA53" s="196" t="str">
        <f t="shared" si="0"/>
        <v>-</v>
      </c>
      <c r="AB53" s="185" t="str">
        <f t="shared" si="6"/>
        <v>-</v>
      </c>
      <c r="AC53" s="235">
        <f t="shared" si="14"/>
        <v>50</v>
      </c>
      <c r="AD53" s="236"/>
      <c r="AE53" s="83" t="str">
        <f t="shared" si="7"/>
        <v>-</v>
      </c>
      <c r="AF53" s="84"/>
      <c r="AG53" s="241" t="str">
        <f t="shared" si="8"/>
        <v>-</v>
      </c>
      <c r="AH53" s="242"/>
      <c r="AI53" s="243" t="str">
        <f t="shared" si="9"/>
        <v>-</v>
      </c>
      <c r="AJ53" s="244"/>
      <c r="AK53" s="85">
        <f t="shared" ca="1" si="1"/>
        <v>47634</v>
      </c>
      <c r="AL53" s="235">
        <v>50</v>
      </c>
      <c r="AM53" s="236"/>
      <c r="AN53" s="86">
        <f t="shared" si="2"/>
        <v>22222.222222222223</v>
      </c>
      <c r="AO53" s="87"/>
      <c r="AP53" s="237">
        <f t="shared" ca="1" si="3"/>
        <v>-2313.5185185185237</v>
      </c>
      <c r="AQ53" s="238"/>
      <c r="AR53" s="239">
        <f t="shared" ca="1" si="4"/>
        <v>19908.703703703701</v>
      </c>
      <c r="AS53" s="240"/>
      <c r="AT53" s="87">
        <f t="shared" ca="1" si="10"/>
        <v>-288888.88888888952</v>
      </c>
      <c r="AU53" s="75" t="str">
        <f t="shared" si="5"/>
        <v>-</v>
      </c>
    </row>
    <row r="54" spans="1:50" ht="14.1" customHeight="1" x14ac:dyDescent="0.25">
      <c r="A54" s="43"/>
      <c r="B54" s="221">
        <f t="shared" si="15"/>
        <v>31</v>
      </c>
      <c r="C54" s="221"/>
      <c r="D54" s="205">
        <f t="shared" si="19"/>
        <v>24395.055374666888</v>
      </c>
      <c r="E54" s="222">
        <f t="shared" si="20"/>
        <v>1156.576929642101</v>
      </c>
      <c r="F54" s="222"/>
      <c r="G54" s="222">
        <f t="shared" si="21"/>
        <v>25551.632304308991</v>
      </c>
      <c r="H54" s="222"/>
      <c r="I54" s="202"/>
      <c r="J54" s="113"/>
      <c r="K54" s="113"/>
      <c r="L54" s="55"/>
      <c r="M54" s="113"/>
      <c r="N54" s="113"/>
      <c r="O54" s="139"/>
      <c r="P54" s="139"/>
      <c r="S54" s="74"/>
      <c r="AA54" s="196" t="str">
        <f t="shared" si="0"/>
        <v>-</v>
      </c>
      <c r="AB54" s="185" t="str">
        <f t="shared" si="6"/>
        <v>-</v>
      </c>
      <c r="AC54" s="235">
        <f t="shared" si="14"/>
        <v>51</v>
      </c>
      <c r="AD54" s="236"/>
      <c r="AE54" s="83" t="str">
        <f t="shared" si="7"/>
        <v>-</v>
      </c>
      <c r="AF54" s="84"/>
      <c r="AG54" s="241" t="str">
        <f t="shared" si="8"/>
        <v>-</v>
      </c>
      <c r="AH54" s="242"/>
      <c r="AI54" s="243" t="str">
        <f t="shared" si="9"/>
        <v>-</v>
      </c>
      <c r="AJ54" s="244"/>
      <c r="AK54" s="85">
        <f t="shared" ca="1" si="1"/>
        <v>47664</v>
      </c>
      <c r="AL54" s="235">
        <v>51</v>
      </c>
      <c r="AM54" s="236"/>
      <c r="AN54" s="86">
        <f t="shared" si="2"/>
        <v>22222.222222222223</v>
      </c>
      <c r="AO54" s="87"/>
      <c r="AP54" s="237">
        <f t="shared" ca="1" si="3"/>
        <v>-2411.1111111111163</v>
      </c>
      <c r="AQ54" s="238"/>
      <c r="AR54" s="239">
        <f t="shared" ca="1" si="4"/>
        <v>19811.111111111106</v>
      </c>
      <c r="AS54" s="240"/>
      <c r="AT54" s="87">
        <f t="shared" ca="1" si="10"/>
        <v>-311111.11111111176</v>
      </c>
      <c r="AU54" s="75" t="str">
        <f t="shared" si="5"/>
        <v>-</v>
      </c>
    </row>
    <row r="55" spans="1:50" ht="14.1" customHeight="1" x14ac:dyDescent="0.25">
      <c r="A55" s="43"/>
      <c r="B55" s="221">
        <f t="shared" si="15"/>
        <v>32</v>
      </c>
      <c r="C55" s="221"/>
      <c r="D55" s="205">
        <f t="shared" si="19"/>
        <v>24584.117053820555</v>
      </c>
      <c r="E55" s="222">
        <f t="shared" si="20"/>
        <v>967.51525048843291</v>
      </c>
      <c r="F55" s="222"/>
      <c r="G55" s="222">
        <f t="shared" si="21"/>
        <v>25551.632304308987</v>
      </c>
      <c r="H55" s="222"/>
      <c r="I55" s="202"/>
      <c r="J55" s="53"/>
      <c r="K55" s="53"/>
      <c r="L55" s="53"/>
      <c r="M55" s="53"/>
      <c r="N55" s="50"/>
      <c r="O55" s="98"/>
      <c r="S55" s="74"/>
      <c r="AA55" s="196" t="str">
        <f t="shared" si="0"/>
        <v>-</v>
      </c>
      <c r="AB55" s="185" t="str">
        <f t="shared" si="6"/>
        <v>-</v>
      </c>
      <c r="AC55" s="235">
        <f t="shared" si="14"/>
        <v>52</v>
      </c>
      <c r="AD55" s="236"/>
      <c r="AE55" s="83" t="str">
        <f t="shared" si="7"/>
        <v>-</v>
      </c>
      <c r="AF55" s="84"/>
      <c r="AG55" s="241" t="str">
        <f t="shared" si="8"/>
        <v>-</v>
      </c>
      <c r="AH55" s="242"/>
      <c r="AI55" s="243" t="str">
        <f t="shared" si="9"/>
        <v>-</v>
      </c>
      <c r="AJ55" s="244"/>
      <c r="AK55" s="85">
        <f t="shared" ca="1" si="1"/>
        <v>47695</v>
      </c>
      <c r="AL55" s="235">
        <v>52</v>
      </c>
      <c r="AM55" s="236"/>
      <c r="AN55" s="86">
        <f t="shared" si="2"/>
        <v>22222.222222222223</v>
      </c>
      <c r="AO55" s="87"/>
      <c r="AP55" s="237">
        <f t="shared" ca="1" si="3"/>
        <v>-2669.4444444444498</v>
      </c>
      <c r="AQ55" s="238"/>
      <c r="AR55" s="239">
        <f t="shared" ca="1" si="4"/>
        <v>19552.777777777774</v>
      </c>
      <c r="AS55" s="240"/>
      <c r="AT55" s="87">
        <f t="shared" ca="1" si="10"/>
        <v>-333333.33333333401</v>
      </c>
      <c r="AU55" s="75" t="str">
        <f t="shared" si="5"/>
        <v>-</v>
      </c>
    </row>
    <row r="56" spans="1:50" ht="14.1" customHeight="1" x14ac:dyDescent="0.25">
      <c r="A56" s="43"/>
      <c r="B56" s="221">
        <f t="shared" si="15"/>
        <v>33</v>
      </c>
      <c r="C56" s="221"/>
      <c r="D56" s="205">
        <f t="shared" si="19"/>
        <v>24774.643960987665</v>
      </c>
      <c r="E56" s="222">
        <f t="shared" si="20"/>
        <v>776.98834332132355</v>
      </c>
      <c r="F56" s="222"/>
      <c r="G56" s="222">
        <f t="shared" si="21"/>
        <v>25551.632304308987</v>
      </c>
      <c r="H56" s="222"/>
      <c r="I56" s="202"/>
      <c r="J56" s="53"/>
      <c r="K56" s="53"/>
      <c r="L56" s="53"/>
      <c r="M56" s="53"/>
      <c r="N56" s="50"/>
      <c r="O56" s="98"/>
      <c r="AA56" s="196" t="str">
        <f t="shared" si="0"/>
        <v>-</v>
      </c>
      <c r="AB56" s="185" t="str">
        <f t="shared" si="6"/>
        <v>-</v>
      </c>
      <c r="AC56" s="235">
        <f t="shared" si="14"/>
        <v>53</v>
      </c>
      <c r="AD56" s="236"/>
      <c r="AE56" s="83" t="str">
        <f t="shared" si="7"/>
        <v>-</v>
      </c>
      <c r="AF56" s="84"/>
      <c r="AG56" s="241" t="str">
        <f t="shared" si="8"/>
        <v>-</v>
      </c>
      <c r="AH56" s="242"/>
      <c r="AI56" s="243" t="str">
        <f t="shared" si="9"/>
        <v>-</v>
      </c>
      <c r="AJ56" s="244"/>
      <c r="AK56" s="85">
        <f t="shared" ca="1" si="1"/>
        <v>47726</v>
      </c>
      <c r="AL56" s="235">
        <v>53</v>
      </c>
      <c r="AM56" s="236"/>
      <c r="AN56" s="86">
        <f t="shared" si="2"/>
        <v>22222.222222222223</v>
      </c>
      <c r="AO56" s="87"/>
      <c r="AP56" s="237">
        <f t="shared" ca="1" si="3"/>
        <v>-2847.4074074074133</v>
      </c>
      <c r="AQ56" s="238"/>
      <c r="AR56" s="239">
        <f t="shared" ca="1" si="4"/>
        <v>19374.81481481481</v>
      </c>
      <c r="AS56" s="240"/>
      <c r="AT56" s="87">
        <f t="shared" ca="1" si="10"/>
        <v>-355555.55555555626</v>
      </c>
      <c r="AU56" s="75" t="str">
        <f t="shared" si="5"/>
        <v>-</v>
      </c>
    </row>
    <row r="57" spans="1:50" ht="14.1" customHeight="1" x14ac:dyDescent="0.25">
      <c r="A57" s="43"/>
      <c r="B57" s="221">
        <f t="shared" si="15"/>
        <v>34</v>
      </c>
      <c r="C57" s="221"/>
      <c r="D57" s="205">
        <f t="shared" si="19"/>
        <v>24966.64745168532</v>
      </c>
      <c r="E57" s="222">
        <f t="shared" si="20"/>
        <v>584.9848526236691</v>
      </c>
      <c r="F57" s="222"/>
      <c r="G57" s="222">
        <f t="shared" si="21"/>
        <v>25551.632304308987</v>
      </c>
      <c r="H57" s="222"/>
      <c r="I57" s="202"/>
      <c r="J57" s="53"/>
      <c r="K57" s="53"/>
      <c r="L57" s="53"/>
      <c r="M57" s="53"/>
      <c r="N57" s="50"/>
      <c r="O57" s="98"/>
      <c r="AA57" s="196" t="str">
        <f t="shared" si="0"/>
        <v>-</v>
      </c>
      <c r="AB57" s="185" t="str">
        <f t="shared" si="6"/>
        <v>-</v>
      </c>
      <c r="AC57" s="235">
        <f t="shared" si="14"/>
        <v>54</v>
      </c>
      <c r="AD57" s="236"/>
      <c r="AE57" s="83" t="str">
        <f t="shared" si="7"/>
        <v>-</v>
      </c>
      <c r="AF57" s="84"/>
      <c r="AG57" s="241" t="str">
        <f t="shared" si="8"/>
        <v>-</v>
      </c>
      <c r="AH57" s="242"/>
      <c r="AI57" s="243" t="str">
        <f t="shared" si="9"/>
        <v>-</v>
      </c>
      <c r="AJ57" s="244"/>
      <c r="AK57" s="85">
        <f t="shared" ca="1" si="1"/>
        <v>47756</v>
      </c>
      <c r="AL57" s="235">
        <v>54</v>
      </c>
      <c r="AM57" s="236"/>
      <c r="AN57" s="86">
        <f t="shared" si="2"/>
        <v>22222.222222222223</v>
      </c>
      <c r="AO57" s="87"/>
      <c r="AP57" s="237">
        <f t="shared" ca="1" si="3"/>
        <v>-2927.7777777777837</v>
      </c>
      <c r="AQ57" s="238"/>
      <c r="AR57" s="239">
        <f t="shared" ca="1" si="4"/>
        <v>19294.444444444438</v>
      </c>
      <c r="AS57" s="240"/>
      <c r="AT57" s="87">
        <f t="shared" ca="1" si="10"/>
        <v>-377777.77777777851</v>
      </c>
      <c r="AU57" s="75" t="str">
        <f t="shared" si="5"/>
        <v>-</v>
      </c>
    </row>
    <row r="58" spans="1:50" ht="14.1" customHeight="1" x14ac:dyDescent="0.25">
      <c r="A58" s="43"/>
      <c r="B58" s="221">
        <f t="shared" si="15"/>
        <v>35</v>
      </c>
      <c r="C58" s="221"/>
      <c r="D58" s="205">
        <f t="shared" si="19"/>
        <v>25160.13896943588</v>
      </c>
      <c r="E58" s="222">
        <f t="shared" si="20"/>
        <v>391.49333487310793</v>
      </c>
      <c r="F58" s="222"/>
      <c r="G58" s="222">
        <f t="shared" si="21"/>
        <v>25551.632304308987</v>
      </c>
      <c r="H58" s="222"/>
      <c r="I58" s="202"/>
      <c r="J58" s="53"/>
      <c r="K58" s="53"/>
      <c r="L58" s="53"/>
      <c r="M58" s="53"/>
      <c r="N58" s="50"/>
      <c r="O58" s="98"/>
      <c r="S58" s="74"/>
      <c r="AA58" s="196" t="str">
        <f t="shared" si="0"/>
        <v>-</v>
      </c>
      <c r="AB58" s="185" t="str">
        <f t="shared" si="6"/>
        <v>-</v>
      </c>
      <c r="AC58" s="235">
        <f t="shared" si="14"/>
        <v>55</v>
      </c>
      <c r="AD58" s="236"/>
      <c r="AE58" s="83" t="str">
        <f t="shared" si="7"/>
        <v>-</v>
      </c>
      <c r="AF58" s="84"/>
      <c r="AG58" s="241" t="str">
        <f t="shared" si="8"/>
        <v>-</v>
      </c>
      <c r="AH58" s="242"/>
      <c r="AI58" s="243" t="str">
        <f t="shared" si="9"/>
        <v>-</v>
      </c>
      <c r="AJ58" s="244"/>
      <c r="AK58" s="85">
        <f t="shared" ca="1" si="1"/>
        <v>47787</v>
      </c>
      <c r="AL58" s="235">
        <v>55</v>
      </c>
      <c r="AM58" s="236"/>
      <c r="AN58" s="86">
        <f t="shared" si="2"/>
        <v>22222.222222222223</v>
      </c>
      <c r="AO58" s="87"/>
      <c r="AP58" s="237">
        <f t="shared" ca="1" si="3"/>
        <v>-3203.3333333333399</v>
      </c>
      <c r="AQ58" s="238"/>
      <c r="AR58" s="239">
        <f t="shared" ca="1" si="4"/>
        <v>19018.888888888883</v>
      </c>
      <c r="AS58" s="240"/>
      <c r="AT58" s="87">
        <f t="shared" ca="1" si="10"/>
        <v>-400000.00000000076</v>
      </c>
      <c r="AU58" s="75" t="str">
        <f t="shared" si="5"/>
        <v>-</v>
      </c>
    </row>
    <row r="59" spans="1:50" ht="14.1" customHeight="1" x14ac:dyDescent="0.25">
      <c r="A59" s="43"/>
      <c r="B59" s="221">
        <f t="shared" si="15"/>
        <v>36</v>
      </c>
      <c r="C59" s="221"/>
      <c r="D59" s="205">
        <f t="shared" si="19"/>
        <v>25355.130046449009</v>
      </c>
      <c r="E59" s="222">
        <f t="shared" si="20"/>
        <v>196.50225785997981</v>
      </c>
      <c r="F59" s="222"/>
      <c r="G59" s="222">
        <f t="shared" si="21"/>
        <v>25551.632304308987</v>
      </c>
      <c r="H59" s="222"/>
      <c r="I59" s="202"/>
      <c r="J59" s="53"/>
      <c r="K59" s="53"/>
      <c r="L59" s="53"/>
      <c r="M59" s="53"/>
      <c r="N59" s="50"/>
      <c r="O59" s="98"/>
      <c r="S59" s="74"/>
      <c r="AA59" s="196" t="str">
        <f t="shared" si="0"/>
        <v>-</v>
      </c>
      <c r="AB59" s="185" t="str">
        <f t="shared" si="6"/>
        <v>-</v>
      </c>
      <c r="AC59" s="235">
        <f t="shared" si="14"/>
        <v>56</v>
      </c>
      <c r="AD59" s="236"/>
      <c r="AE59" s="83" t="str">
        <f t="shared" si="7"/>
        <v>-</v>
      </c>
      <c r="AF59" s="84"/>
      <c r="AG59" s="241" t="str">
        <f t="shared" si="8"/>
        <v>-</v>
      </c>
      <c r="AH59" s="242"/>
      <c r="AI59" s="243" t="str">
        <f t="shared" si="9"/>
        <v>-</v>
      </c>
      <c r="AJ59" s="244"/>
      <c r="AK59" s="85">
        <f t="shared" ca="1" si="1"/>
        <v>47817</v>
      </c>
      <c r="AL59" s="235">
        <v>56</v>
      </c>
      <c r="AM59" s="236"/>
      <c r="AN59" s="86">
        <f t="shared" si="2"/>
        <v>22222.222222222223</v>
      </c>
      <c r="AO59" s="87"/>
      <c r="AP59" s="237">
        <f t="shared" ca="1" si="3"/>
        <v>-3272.2222222222285</v>
      </c>
      <c r="AQ59" s="238"/>
      <c r="AR59" s="239">
        <f t="shared" ca="1" si="4"/>
        <v>18949.999999999993</v>
      </c>
      <c r="AS59" s="240"/>
      <c r="AT59" s="87">
        <f t="shared" ca="1" si="10"/>
        <v>-422222.222222223</v>
      </c>
      <c r="AU59" s="75" t="str">
        <f t="shared" si="5"/>
        <v>-</v>
      </c>
    </row>
    <row r="60" spans="1:50" ht="14.1" customHeight="1" x14ac:dyDescent="0.25">
      <c r="A60" s="43"/>
      <c r="B60" s="221" t="str">
        <f>IF(E12=36,"Всього:",IF(B59&lt;$E$12,B59+1,""))</f>
        <v>Всього:</v>
      </c>
      <c r="C60" s="221"/>
      <c r="D60" s="205">
        <f>IF(E12=36,SUM(D24:D59),IF(B59&lt;$E$12,AE40,""))</f>
        <v>799999.99999999988</v>
      </c>
      <c r="E60" s="222">
        <f>IF(E12=36,SUM(E24:F59),IF(B59&lt;$E$12,AG40,""))</f>
        <v>119858.76295512365</v>
      </c>
      <c r="F60" s="222"/>
      <c r="G60" s="222">
        <f>IF(E12=36,SUM(G24:H59),IF(B59&lt;$E$12,AI40,""))</f>
        <v>919858.76295512286</v>
      </c>
      <c r="H60" s="222"/>
      <c r="I60" s="202"/>
      <c r="J60" s="53"/>
      <c r="K60" s="53"/>
      <c r="L60" s="53"/>
      <c r="M60" s="53"/>
      <c r="N60" s="50"/>
      <c r="O60" s="98"/>
      <c r="S60" s="74"/>
      <c r="T60" s="74"/>
      <c r="U60" s="74"/>
      <c r="V60" s="74"/>
      <c r="W60" s="74"/>
      <c r="X60" s="74"/>
      <c r="Y60" s="74"/>
      <c r="AA60" s="196" t="str">
        <f t="shared" si="0"/>
        <v>-</v>
      </c>
      <c r="AB60" s="185" t="str">
        <f t="shared" si="6"/>
        <v>-</v>
      </c>
      <c r="AC60" s="235">
        <f t="shared" si="14"/>
        <v>57</v>
      </c>
      <c r="AD60" s="236"/>
      <c r="AE60" s="83" t="str">
        <f t="shared" si="7"/>
        <v>-</v>
      </c>
      <c r="AF60" s="84"/>
      <c r="AG60" s="241" t="str">
        <f t="shared" si="8"/>
        <v>-</v>
      </c>
      <c r="AH60" s="242"/>
      <c r="AI60" s="243" t="str">
        <f t="shared" si="9"/>
        <v>-</v>
      </c>
      <c r="AJ60" s="244"/>
      <c r="AK60" s="85">
        <f t="shared" ca="1" si="1"/>
        <v>47848</v>
      </c>
      <c r="AL60" s="235">
        <v>57</v>
      </c>
      <c r="AM60" s="236"/>
      <c r="AN60" s="86">
        <f t="shared" si="2"/>
        <v>22222.222222222223</v>
      </c>
      <c r="AO60" s="87"/>
      <c r="AP60" s="237">
        <f t="shared" ca="1" si="3"/>
        <v>-3559.2592592592655</v>
      </c>
      <c r="AQ60" s="238"/>
      <c r="AR60" s="239">
        <f t="shared" ca="1" si="4"/>
        <v>18662.962962962956</v>
      </c>
      <c r="AS60" s="240"/>
      <c r="AT60" s="87">
        <f t="shared" ca="1" si="10"/>
        <v>-444444.44444444525</v>
      </c>
      <c r="AU60" s="75" t="str">
        <f t="shared" si="5"/>
        <v>-</v>
      </c>
    </row>
    <row r="61" spans="1:50" ht="14.1" customHeight="1" x14ac:dyDescent="0.25">
      <c r="A61" s="43"/>
      <c r="B61" s="221" t="str">
        <f t="shared" si="15"/>
        <v/>
      </c>
      <c r="C61" s="221"/>
      <c r="D61" s="205" t="str">
        <f t="shared" ref="D61:D71" si="22">IF(B60&lt;$E$12,AE41,"")</f>
        <v/>
      </c>
      <c r="E61" s="222" t="str">
        <f t="shared" ref="E61:E71" si="23">IF(B60&lt;$E$12,AG41,"")</f>
        <v/>
      </c>
      <c r="F61" s="222"/>
      <c r="G61" s="222" t="str">
        <f t="shared" ref="G61:G71" si="24">IF(B60&lt;$E$12,AI41,"")</f>
        <v/>
      </c>
      <c r="H61" s="222"/>
      <c r="I61" s="202"/>
      <c r="J61" s="53"/>
      <c r="K61" s="53"/>
      <c r="L61" s="53"/>
      <c r="M61" s="53"/>
      <c r="N61" s="50"/>
      <c r="O61" s="98"/>
      <c r="S61" s="74"/>
      <c r="U61" s="143"/>
      <c r="V61" s="116"/>
      <c r="W61" s="116"/>
      <c r="X61" s="116"/>
      <c r="Y61" s="116"/>
      <c r="AA61" s="196" t="str">
        <f t="shared" si="0"/>
        <v>-</v>
      </c>
      <c r="AB61" s="185" t="str">
        <f t="shared" si="6"/>
        <v>-</v>
      </c>
      <c r="AC61" s="235">
        <f t="shared" si="14"/>
        <v>58</v>
      </c>
      <c r="AD61" s="236"/>
      <c r="AE61" s="83" t="str">
        <f t="shared" si="7"/>
        <v>-</v>
      </c>
      <c r="AF61" s="84"/>
      <c r="AG61" s="241" t="str">
        <f t="shared" si="8"/>
        <v>-</v>
      </c>
      <c r="AH61" s="242"/>
      <c r="AI61" s="243" t="str">
        <f t="shared" si="9"/>
        <v>-</v>
      </c>
      <c r="AJ61" s="244"/>
      <c r="AK61" s="85">
        <f t="shared" ca="1" si="1"/>
        <v>47879</v>
      </c>
      <c r="AL61" s="235">
        <v>58</v>
      </c>
      <c r="AM61" s="236"/>
      <c r="AN61" s="86">
        <f t="shared" si="2"/>
        <v>22222.222222222223</v>
      </c>
      <c r="AO61" s="87"/>
      <c r="AP61" s="237">
        <f t="shared" ca="1" si="3"/>
        <v>-3737.2222222222299</v>
      </c>
      <c r="AQ61" s="238"/>
      <c r="AR61" s="239">
        <f t="shared" ca="1" si="4"/>
        <v>18484.999999999993</v>
      </c>
      <c r="AS61" s="240"/>
      <c r="AT61" s="87">
        <f t="shared" ca="1" si="10"/>
        <v>-466666.6666666675</v>
      </c>
      <c r="AU61" s="75" t="str">
        <f t="shared" si="5"/>
        <v>-</v>
      </c>
    </row>
    <row r="62" spans="1:50" ht="14.1" customHeight="1" x14ac:dyDescent="0.25">
      <c r="A62" s="43"/>
      <c r="B62" s="221" t="str">
        <f t="shared" si="15"/>
        <v/>
      </c>
      <c r="C62" s="221"/>
      <c r="D62" s="205" t="str">
        <f t="shared" si="22"/>
        <v/>
      </c>
      <c r="E62" s="222" t="str">
        <f t="shared" si="23"/>
        <v/>
      </c>
      <c r="F62" s="222"/>
      <c r="G62" s="222" t="str">
        <f t="shared" si="24"/>
        <v/>
      </c>
      <c r="H62" s="222"/>
      <c r="I62" s="202"/>
      <c r="J62" s="53"/>
      <c r="K62" s="53"/>
      <c r="L62" s="53"/>
      <c r="M62" s="53"/>
      <c r="N62" s="50"/>
      <c r="O62" s="98"/>
      <c r="S62" s="74"/>
      <c r="W62" s="116"/>
      <c r="X62" s="116"/>
      <c r="AA62" s="196" t="str">
        <f t="shared" si="0"/>
        <v>-</v>
      </c>
      <c r="AB62" s="185" t="str">
        <f t="shared" si="6"/>
        <v>-</v>
      </c>
      <c r="AC62" s="235">
        <f t="shared" si="14"/>
        <v>59</v>
      </c>
      <c r="AD62" s="236"/>
      <c r="AE62" s="83" t="str">
        <f t="shared" si="7"/>
        <v>-</v>
      </c>
      <c r="AF62" s="84"/>
      <c r="AG62" s="241" t="str">
        <f t="shared" si="8"/>
        <v>-</v>
      </c>
      <c r="AH62" s="242"/>
      <c r="AI62" s="243" t="str">
        <f t="shared" si="9"/>
        <v>-</v>
      </c>
      <c r="AJ62" s="244"/>
      <c r="AK62" s="85">
        <f t="shared" ca="1" si="1"/>
        <v>47907</v>
      </c>
      <c r="AL62" s="235">
        <v>59</v>
      </c>
      <c r="AM62" s="236"/>
      <c r="AN62" s="86">
        <f t="shared" si="2"/>
        <v>22222.222222222223</v>
      </c>
      <c r="AO62" s="87"/>
      <c r="AP62" s="237">
        <f t="shared" ca="1" si="3"/>
        <v>-3536.2962962963029</v>
      </c>
      <c r="AQ62" s="238"/>
      <c r="AR62" s="239">
        <f t="shared" ca="1" si="4"/>
        <v>18685.92592592592</v>
      </c>
      <c r="AS62" s="240"/>
      <c r="AT62" s="87">
        <f t="shared" ca="1" si="10"/>
        <v>-488888.88888888975</v>
      </c>
      <c r="AU62" s="75" t="str">
        <f t="shared" si="5"/>
        <v>-</v>
      </c>
    </row>
    <row r="63" spans="1:50" ht="14.1" customHeight="1" x14ac:dyDescent="0.25">
      <c r="A63" s="43"/>
      <c r="B63" s="221" t="str">
        <f t="shared" si="15"/>
        <v/>
      </c>
      <c r="C63" s="221"/>
      <c r="D63" s="205" t="str">
        <f t="shared" si="22"/>
        <v/>
      </c>
      <c r="E63" s="222" t="str">
        <f t="shared" si="23"/>
        <v/>
      </c>
      <c r="F63" s="222"/>
      <c r="G63" s="222" t="str">
        <f t="shared" si="24"/>
        <v/>
      </c>
      <c r="H63" s="222"/>
      <c r="I63" s="202"/>
      <c r="J63" s="53"/>
      <c r="K63" s="53"/>
      <c r="L63" s="53"/>
      <c r="M63" s="53"/>
      <c r="N63" s="50"/>
      <c r="O63" s="98"/>
      <c r="S63" s="74"/>
      <c r="AA63" s="196" t="str">
        <f>IFERROR(AI63+Z64,"-")</f>
        <v>-</v>
      </c>
      <c r="AB63" s="185" t="str">
        <f t="shared" si="6"/>
        <v>-</v>
      </c>
      <c r="AC63" s="235">
        <f t="shared" si="14"/>
        <v>60</v>
      </c>
      <c r="AD63" s="236"/>
      <c r="AE63" s="83" t="str">
        <f t="shared" si="7"/>
        <v>-</v>
      </c>
      <c r="AF63" s="84"/>
      <c r="AG63" s="241" t="str">
        <f t="shared" si="8"/>
        <v>-</v>
      </c>
      <c r="AH63" s="242"/>
      <c r="AI63" s="243" t="str">
        <f t="shared" si="9"/>
        <v>-</v>
      </c>
      <c r="AJ63" s="244"/>
      <c r="AK63" s="85">
        <f t="shared" ca="1" si="1"/>
        <v>47938</v>
      </c>
      <c r="AL63" s="235">
        <v>60</v>
      </c>
      <c r="AM63" s="236"/>
      <c r="AN63" s="86">
        <f t="shared" si="2"/>
        <v>22222.222222222223</v>
      </c>
      <c r="AO63" s="87"/>
      <c r="AP63" s="237">
        <f t="shared" ca="1" si="3"/>
        <v>-4093.1481481481555</v>
      </c>
      <c r="AQ63" s="238"/>
      <c r="AR63" s="239">
        <f t="shared" ca="1" si="4"/>
        <v>18129.074074074066</v>
      </c>
      <c r="AS63" s="240"/>
      <c r="AT63" s="87">
        <f t="shared" ca="1" si="10"/>
        <v>-511111.111111112</v>
      </c>
      <c r="AU63" s="75" t="str">
        <f t="shared" si="5"/>
        <v>-</v>
      </c>
    </row>
    <row r="64" spans="1:50" ht="14.1" customHeight="1" x14ac:dyDescent="0.25">
      <c r="A64" s="43"/>
      <c r="B64" s="221" t="str">
        <f t="shared" si="15"/>
        <v/>
      </c>
      <c r="C64" s="221"/>
      <c r="D64" s="205" t="str">
        <f t="shared" si="22"/>
        <v/>
      </c>
      <c r="E64" s="222" t="str">
        <f t="shared" si="23"/>
        <v/>
      </c>
      <c r="F64" s="222"/>
      <c r="G64" s="222" t="str">
        <f t="shared" si="24"/>
        <v/>
      </c>
      <c r="H64" s="222"/>
      <c r="I64" s="202"/>
      <c r="J64" s="53"/>
      <c r="K64" s="53"/>
      <c r="L64" s="53"/>
      <c r="M64" s="53"/>
      <c r="N64" s="50"/>
      <c r="O64" s="98"/>
      <c r="S64" s="74"/>
      <c r="Z64" s="116">
        <f>IF($V$26&gt;AC64,$E$4*0.9*0.9*0.9*0.9*0.9*T33,0)</f>
        <v>0</v>
      </c>
      <c r="AA64" s="196" t="str">
        <f t="shared" si="0"/>
        <v>-</v>
      </c>
      <c r="AB64" s="185" t="str">
        <f t="shared" si="6"/>
        <v>-</v>
      </c>
      <c r="AC64" s="235">
        <f t="shared" si="14"/>
        <v>61</v>
      </c>
      <c r="AD64" s="236"/>
      <c r="AE64" s="83" t="str">
        <f t="shared" si="7"/>
        <v>-</v>
      </c>
      <c r="AF64" s="84"/>
      <c r="AG64" s="241" t="str">
        <f t="shared" si="8"/>
        <v>-</v>
      </c>
      <c r="AH64" s="242"/>
      <c r="AI64" s="243" t="str">
        <f t="shared" si="9"/>
        <v>-</v>
      </c>
      <c r="AJ64" s="244"/>
      <c r="AK64" s="85">
        <f t="shared" ca="1" si="1"/>
        <v>47968</v>
      </c>
      <c r="AL64" s="235">
        <v>61</v>
      </c>
      <c r="AM64" s="236"/>
      <c r="AN64" s="86">
        <f t="shared" si="2"/>
        <v>22222.222222222223</v>
      </c>
      <c r="AO64" s="87"/>
      <c r="AP64" s="237">
        <f t="shared" ca="1" si="3"/>
        <v>-4133.3333333333403</v>
      </c>
      <c r="AQ64" s="238"/>
      <c r="AR64" s="239">
        <f t="shared" ca="1" si="4"/>
        <v>18088.888888888883</v>
      </c>
      <c r="AS64" s="240"/>
      <c r="AT64" s="87">
        <f t="shared" ca="1" si="10"/>
        <v>-533333.33333333419</v>
      </c>
      <c r="AU64" s="75" t="e">
        <f>AI64+AW64+AX64</f>
        <v>#VALUE!</v>
      </c>
      <c r="AW64" s="63" t="str">
        <f>IF($E$12&gt;$R$6,$E$4*0.9*0.9*0.9*0.9*0.9*5.5%,"")</f>
        <v/>
      </c>
      <c r="AX64" s="63" t="e">
        <f>IF(#REF!=0,0,IF($E$12&gt;$R$6,(AE90-SUM(AE4:AE63))*0.0299,""))</f>
        <v>#REF!</v>
      </c>
    </row>
    <row r="65" spans="1:50" ht="14.1" customHeight="1" x14ac:dyDescent="0.25">
      <c r="A65" s="43"/>
      <c r="B65" s="221" t="str">
        <f t="shared" si="15"/>
        <v/>
      </c>
      <c r="C65" s="221"/>
      <c r="D65" s="205" t="str">
        <f t="shared" si="22"/>
        <v/>
      </c>
      <c r="E65" s="222" t="str">
        <f t="shared" si="23"/>
        <v/>
      </c>
      <c r="F65" s="222"/>
      <c r="G65" s="222" t="str">
        <f t="shared" si="24"/>
        <v/>
      </c>
      <c r="H65" s="222"/>
      <c r="I65" s="202"/>
      <c r="J65" s="53"/>
      <c r="K65" s="53"/>
      <c r="L65" s="53"/>
      <c r="M65" s="53"/>
      <c r="N65" s="50"/>
      <c r="O65" s="98"/>
      <c r="S65" s="74"/>
      <c r="AA65" s="196" t="str">
        <f t="shared" si="0"/>
        <v>-</v>
      </c>
      <c r="AB65" s="185" t="str">
        <f t="shared" si="6"/>
        <v>-</v>
      </c>
      <c r="AC65" s="235">
        <f t="shared" si="14"/>
        <v>62</v>
      </c>
      <c r="AD65" s="236"/>
      <c r="AE65" s="83" t="str">
        <f t="shared" si="7"/>
        <v>-</v>
      </c>
      <c r="AF65" s="84"/>
      <c r="AG65" s="241" t="str">
        <f t="shared" si="8"/>
        <v>-</v>
      </c>
      <c r="AH65" s="242"/>
      <c r="AI65" s="243" t="str">
        <f t="shared" si="9"/>
        <v>-</v>
      </c>
      <c r="AJ65" s="244"/>
      <c r="AK65" s="85">
        <f t="shared" ca="1" si="1"/>
        <v>47999</v>
      </c>
      <c r="AL65" s="235">
        <v>62</v>
      </c>
      <c r="AM65" s="236"/>
      <c r="AN65" s="86">
        <f t="shared" si="2"/>
        <v>22222.222222222223</v>
      </c>
      <c r="AO65" s="87"/>
      <c r="AP65" s="237">
        <f t="shared" ca="1" si="3"/>
        <v>-4449.0740740740812</v>
      </c>
      <c r="AQ65" s="238"/>
      <c r="AR65" s="239">
        <f t="shared" ca="1" si="4"/>
        <v>17773.148148148142</v>
      </c>
      <c r="AS65" s="240"/>
      <c r="AT65" s="87">
        <f t="shared" ca="1" si="10"/>
        <v>-555555.55555555644</v>
      </c>
      <c r="AU65" s="75" t="str">
        <f t="shared" si="5"/>
        <v>-</v>
      </c>
    </row>
    <row r="66" spans="1:50" ht="14.1" customHeight="1" x14ac:dyDescent="0.25">
      <c r="A66" s="43"/>
      <c r="B66" s="221" t="str">
        <f t="shared" si="15"/>
        <v/>
      </c>
      <c r="C66" s="221"/>
      <c r="D66" s="205" t="str">
        <f t="shared" si="22"/>
        <v/>
      </c>
      <c r="E66" s="222" t="str">
        <f t="shared" si="23"/>
        <v/>
      </c>
      <c r="F66" s="222"/>
      <c r="G66" s="222" t="str">
        <f t="shared" si="24"/>
        <v/>
      </c>
      <c r="H66" s="222"/>
      <c r="I66" s="202"/>
      <c r="J66" s="53"/>
      <c r="K66" s="53"/>
      <c r="L66" s="53"/>
      <c r="M66" s="53"/>
      <c r="N66" s="50"/>
      <c r="O66" s="98"/>
      <c r="S66" s="74"/>
      <c r="AA66" s="196" t="str">
        <f t="shared" si="0"/>
        <v>-</v>
      </c>
      <c r="AB66" s="185" t="str">
        <f t="shared" si="6"/>
        <v>-</v>
      </c>
      <c r="AC66" s="235">
        <f t="shared" si="14"/>
        <v>63</v>
      </c>
      <c r="AD66" s="236"/>
      <c r="AE66" s="83" t="str">
        <f t="shared" si="7"/>
        <v>-</v>
      </c>
      <c r="AF66" s="84"/>
      <c r="AG66" s="241" t="str">
        <f t="shared" si="8"/>
        <v>-</v>
      </c>
      <c r="AH66" s="242"/>
      <c r="AI66" s="243" t="str">
        <f t="shared" si="9"/>
        <v>-</v>
      </c>
      <c r="AJ66" s="244"/>
      <c r="AK66" s="85">
        <f t="shared" ca="1" si="1"/>
        <v>48029</v>
      </c>
      <c r="AL66" s="235">
        <v>63</v>
      </c>
      <c r="AM66" s="236"/>
      <c r="AN66" s="86">
        <f t="shared" si="2"/>
        <v>22222.222222222223</v>
      </c>
      <c r="AO66" s="87"/>
      <c r="AP66" s="237">
        <f t="shared" ca="1" si="3"/>
        <v>-4477.7777777777856</v>
      </c>
      <c r="AQ66" s="238"/>
      <c r="AR66" s="239">
        <f t="shared" ca="1" si="4"/>
        <v>17744.444444444438</v>
      </c>
      <c r="AS66" s="240"/>
      <c r="AT66" s="87">
        <f t="shared" ca="1" si="10"/>
        <v>-577777.77777777868</v>
      </c>
      <c r="AU66" s="75" t="str">
        <f t="shared" si="5"/>
        <v>-</v>
      </c>
    </row>
    <row r="67" spans="1:50" ht="14.1" customHeight="1" x14ac:dyDescent="0.25">
      <c r="A67" s="43"/>
      <c r="B67" s="221" t="str">
        <f t="shared" si="15"/>
        <v/>
      </c>
      <c r="C67" s="221"/>
      <c r="D67" s="205" t="str">
        <f t="shared" si="22"/>
        <v/>
      </c>
      <c r="E67" s="222" t="str">
        <f t="shared" si="23"/>
        <v/>
      </c>
      <c r="F67" s="222"/>
      <c r="G67" s="222" t="str">
        <f t="shared" si="24"/>
        <v/>
      </c>
      <c r="H67" s="222"/>
      <c r="I67" s="202"/>
      <c r="J67" s="53"/>
      <c r="K67" s="53"/>
      <c r="L67" s="53"/>
      <c r="M67" s="53"/>
      <c r="N67" s="50"/>
      <c r="O67" s="98"/>
      <c r="S67" s="74"/>
      <c r="AA67" s="196" t="str">
        <f t="shared" si="0"/>
        <v>-</v>
      </c>
      <c r="AB67" s="185" t="str">
        <f t="shared" si="6"/>
        <v>-</v>
      </c>
      <c r="AC67" s="235">
        <f t="shared" si="14"/>
        <v>64</v>
      </c>
      <c r="AD67" s="236"/>
      <c r="AE67" s="83" t="str">
        <f t="shared" si="7"/>
        <v>-</v>
      </c>
      <c r="AF67" s="84"/>
      <c r="AG67" s="241" t="str">
        <f t="shared" si="8"/>
        <v>-</v>
      </c>
      <c r="AH67" s="242"/>
      <c r="AI67" s="243" t="str">
        <f t="shared" si="9"/>
        <v>-</v>
      </c>
      <c r="AJ67" s="244"/>
      <c r="AK67" s="85">
        <f t="shared" ca="1" si="1"/>
        <v>48060</v>
      </c>
      <c r="AL67" s="235">
        <v>64</v>
      </c>
      <c r="AM67" s="236"/>
      <c r="AN67" s="86">
        <f t="shared" si="2"/>
        <v>22222.222222222223</v>
      </c>
      <c r="AO67" s="87"/>
      <c r="AP67" s="237">
        <f t="shared" ca="1" si="3"/>
        <v>-4805.0000000000082</v>
      </c>
      <c r="AQ67" s="238"/>
      <c r="AR67" s="239">
        <f t="shared" ca="1" si="4"/>
        <v>17417.222222222215</v>
      </c>
      <c r="AS67" s="240"/>
      <c r="AT67" s="87">
        <f t="shared" ca="1" si="10"/>
        <v>-600000.00000000093</v>
      </c>
      <c r="AU67" s="75" t="str">
        <f t="shared" si="5"/>
        <v>-</v>
      </c>
    </row>
    <row r="68" spans="1:50" ht="14.1" customHeight="1" x14ac:dyDescent="0.25">
      <c r="A68" s="43"/>
      <c r="B68" s="221" t="str">
        <f t="shared" si="15"/>
        <v/>
      </c>
      <c r="C68" s="221"/>
      <c r="D68" s="205" t="str">
        <f t="shared" si="22"/>
        <v/>
      </c>
      <c r="E68" s="222" t="str">
        <f t="shared" si="23"/>
        <v/>
      </c>
      <c r="F68" s="222"/>
      <c r="G68" s="222" t="str">
        <f t="shared" si="24"/>
        <v/>
      </c>
      <c r="H68" s="222"/>
      <c r="I68" s="202"/>
      <c r="J68" s="53"/>
      <c r="K68" s="53"/>
      <c r="L68" s="53"/>
      <c r="M68" s="53"/>
      <c r="N68" s="50"/>
      <c r="O68" s="98"/>
      <c r="S68" s="74"/>
      <c r="AA68" s="196" t="str">
        <f t="shared" si="0"/>
        <v>-</v>
      </c>
      <c r="AB68" s="185" t="str">
        <f t="shared" si="6"/>
        <v>-</v>
      </c>
      <c r="AC68" s="235">
        <f t="shared" si="14"/>
        <v>65</v>
      </c>
      <c r="AD68" s="236"/>
      <c r="AE68" s="83" t="str">
        <f t="shared" si="7"/>
        <v>-</v>
      </c>
      <c r="AF68" s="84"/>
      <c r="AG68" s="241" t="str">
        <f t="shared" si="8"/>
        <v>-</v>
      </c>
      <c r="AH68" s="242"/>
      <c r="AI68" s="243" t="str">
        <f t="shared" si="9"/>
        <v>-</v>
      </c>
      <c r="AJ68" s="244"/>
      <c r="AK68" s="85">
        <f t="shared" ca="1" si="1"/>
        <v>48091</v>
      </c>
      <c r="AL68" s="235">
        <v>65</v>
      </c>
      <c r="AM68" s="236"/>
      <c r="AN68" s="86">
        <f t="shared" si="2"/>
        <v>22222.222222222223</v>
      </c>
      <c r="AO68" s="87"/>
      <c r="AP68" s="237">
        <f t="shared" ca="1" si="3"/>
        <v>-4982.9629629629717</v>
      </c>
      <c r="AQ68" s="238"/>
      <c r="AR68" s="239">
        <f t="shared" ca="1" si="4"/>
        <v>17239.259259259252</v>
      </c>
      <c r="AS68" s="240"/>
      <c r="AT68" s="87">
        <f t="shared" ca="1" si="10"/>
        <v>-622222.22222222318</v>
      </c>
      <c r="AU68" s="75" t="str">
        <f t="shared" si="5"/>
        <v>-</v>
      </c>
    </row>
    <row r="69" spans="1:50" ht="14.1" customHeight="1" x14ac:dyDescent="0.25">
      <c r="A69" s="43"/>
      <c r="B69" s="221" t="str">
        <f t="shared" si="15"/>
        <v/>
      </c>
      <c r="C69" s="221"/>
      <c r="D69" s="205" t="str">
        <f t="shared" si="22"/>
        <v/>
      </c>
      <c r="E69" s="222" t="str">
        <f t="shared" si="23"/>
        <v/>
      </c>
      <c r="F69" s="222"/>
      <c r="G69" s="222" t="str">
        <f t="shared" si="24"/>
        <v/>
      </c>
      <c r="H69" s="222"/>
      <c r="I69" s="202"/>
      <c r="J69" s="53"/>
      <c r="K69" s="53"/>
      <c r="L69" s="53"/>
      <c r="M69" s="53"/>
      <c r="N69" s="50"/>
      <c r="O69" s="98"/>
      <c r="S69" s="74"/>
      <c r="AA69" s="196" t="str">
        <f t="shared" ref="AA69:AA87" si="25">AI69</f>
        <v>-</v>
      </c>
      <c r="AB69" s="185" t="str">
        <f t="shared" si="6"/>
        <v>-</v>
      </c>
      <c r="AC69" s="235">
        <f t="shared" si="14"/>
        <v>66</v>
      </c>
      <c r="AD69" s="236"/>
      <c r="AE69" s="83" t="str">
        <f t="shared" si="7"/>
        <v>-</v>
      </c>
      <c r="AF69" s="84"/>
      <c r="AG69" s="241" t="str">
        <f t="shared" si="8"/>
        <v>-</v>
      </c>
      <c r="AH69" s="242"/>
      <c r="AI69" s="243" t="str">
        <f t="shared" si="9"/>
        <v>-</v>
      </c>
      <c r="AJ69" s="244"/>
      <c r="AK69" s="85">
        <f t="shared" ref="AK69:AK89" ca="1" si="26">IF(AL69="","",DATE(YEAR(AK68),MONTH(AK68)+2,DAY(1)-1))</f>
        <v>48121</v>
      </c>
      <c r="AL69" s="235">
        <v>66</v>
      </c>
      <c r="AM69" s="236"/>
      <c r="AN69" s="86">
        <f t="shared" ref="AN69:AN89" si="27">$N$2/$E$12</f>
        <v>22222.222222222223</v>
      </c>
      <c r="AO69" s="87"/>
      <c r="AP69" s="237">
        <f t="shared" ref="AP69:AP89" ca="1" si="28">AT69*$E$14/100*(AK69-AK68)/360</f>
        <v>-4994.4444444444525</v>
      </c>
      <c r="AQ69" s="238"/>
      <c r="AR69" s="239">
        <f t="shared" ref="AR69:AR89" ca="1" si="29">AN69+AP69</f>
        <v>17227.77777777777</v>
      </c>
      <c r="AS69" s="240"/>
      <c r="AT69" s="87">
        <f t="shared" ca="1" si="10"/>
        <v>-644444.44444444543</v>
      </c>
      <c r="AU69" s="75" t="str">
        <f t="shared" ref="AU69:AU90" si="30">AI69</f>
        <v>-</v>
      </c>
    </row>
    <row r="70" spans="1:50" ht="14.1" customHeight="1" x14ac:dyDescent="0.25">
      <c r="A70" s="43"/>
      <c r="B70" s="221" t="str">
        <f t="shared" si="15"/>
        <v/>
      </c>
      <c r="C70" s="221"/>
      <c r="D70" s="205" t="str">
        <f t="shared" si="22"/>
        <v/>
      </c>
      <c r="E70" s="222" t="str">
        <f t="shared" si="23"/>
        <v/>
      </c>
      <c r="F70" s="222"/>
      <c r="G70" s="222" t="str">
        <f t="shared" si="24"/>
        <v/>
      </c>
      <c r="H70" s="222"/>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35">
        <f t="shared" si="14"/>
        <v>67</v>
      </c>
      <c r="AD70" s="236"/>
      <c r="AE70" s="83" t="str">
        <f t="shared" ref="AE70:AE87" si="32">IF(AC70&gt;$V$26,"-",IF($AE$4=0,PPMT($E$14/1200,AC69,$E$12,-$N$2),PPMT($E$14/1200,AC70,$E$12,-$N$2)))</f>
        <v>-</v>
      </c>
      <c r="AF70" s="84"/>
      <c r="AG70" s="241" t="str">
        <f t="shared" ref="AG70:AG87" si="33">IF(AC70&gt;$V$26,"-",IF($AE$4=0,IPMT($E$14/1200,AC69,$E$12,-$N$2),IPMT($E$14/1200,AC70,$E$12,-$N$2)))</f>
        <v>-</v>
      </c>
      <c r="AH70" s="242"/>
      <c r="AI70" s="243" t="str">
        <f t="shared" ref="AI70:AI87" si="34">IF(AC70&gt;$V$26,"-",AG70+AE70)</f>
        <v>-</v>
      </c>
      <c r="AJ70" s="244"/>
      <c r="AK70" s="85">
        <f t="shared" ca="1" si="26"/>
        <v>48152</v>
      </c>
      <c r="AL70" s="235">
        <v>67</v>
      </c>
      <c r="AM70" s="236"/>
      <c r="AN70" s="86">
        <f t="shared" si="27"/>
        <v>22222.222222222223</v>
      </c>
      <c r="AO70" s="87"/>
      <c r="AP70" s="237">
        <f t="shared" ca="1" si="28"/>
        <v>-5338.8888888888978</v>
      </c>
      <c r="AQ70" s="238"/>
      <c r="AR70" s="239">
        <f t="shared" ca="1" si="29"/>
        <v>16883.333333333325</v>
      </c>
      <c r="AS70" s="240"/>
      <c r="AT70" s="87">
        <f t="shared" ref="AT70:AT89" ca="1" si="35">AT69-AN69</f>
        <v>-666666.66666666768</v>
      </c>
      <c r="AU70" s="75" t="str">
        <f t="shared" si="30"/>
        <v>-</v>
      </c>
    </row>
    <row r="71" spans="1:50" ht="14.1" customHeight="1" x14ac:dyDescent="0.25">
      <c r="A71" s="43"/>
      <c r="B71" s="221" t="str">
        <f t="shared" si="15"/>
        <v/>
      </c>
      <c r="C71" s="221"/>
      <c r="D71" s="205" t="str">
        <f t="shared" si="22"/>
        <v/>
      </c>
      <c r="E71" s="222" t="str">
        <f t="shared" si="23"/>
        <v/>
      </c>
      <c r="F71" s="222"/>
      <c r="G71" s="222" t="str">
        <f t="shared" si="24"/>
        <v/>
      </c>
      <c r="H71" s="222"/>
      <c r="I71" s="202"/>
      <c r="J71" s="53"/>
      <c r="K71" s="53"/>
      <c r="L71" s="53"/>
      <c r="M71" s="53"/>
      <c r="N71" s="50"/>
      <c r="O71" s="98"/>
      <c r="S71" s="74"/>
      <c r="AA71" s="196" t="str">
        <f t="shared" si="25"/>
        <v>-</v>
      </c>
      <c r="AB71" s="185" t="str">
        <f t="shared" si="31"/>
        <v>-</v>
      </c>
      <c r="AC71" s="235">
        <f t="shared" si="14"/>
        <v>68</v>
      </c>
      <c r="AD71" s="236"/>
      <c r="AE71" s="83" t="str">
        <f t="shared" si="32"/>
        <v>-</v>
      </c>
      <c r="AF71" s="84"/>
      <c r="AG71" s="241" t="str">
        <f t="shared" si="33"/>
        <v>-</v>
      </c>
      <c r="AH71" s="242"/>
      <c r="AI71" s="243" t="str">
        <f t="shared" si="34"/>
        <v>-</v>
      </c>
      <c r="AJ71" s="244"/>
      <c r="AK71" s="85">
        <f t="shared" ca="1" si="26"/>
        <v>48182</v>
      </c>
      <c r="AL71" s="235">
        <v>68</v>
      </c>
      <c r="AM71" s="236"/>
      <c r="AN71" s="86">
        <f t="shared" si="27"/>
        <v>22222.222222222223</v>
      </c>
      <c r="AO71" s="87"/>
      <c r="AP71" s="237">
        <f t="shared" ca="1" si="28"/>
        <v>-5338.8888888888978</v>
      </c>
      <c r="AQ71" s="238"/>
      <c r="AR71" s="239">
        <f t="shared" ca="1" si="29"/>
        <v>16883.333333333325</v>
      </c>
      <c r="AS71" s="240"/>
      <c r="AT71" s="87">
        <f t="shared" ca="1" si="35"/>
        <v>-688888.88888888992</v>
      </c>
      <c r="AU71" s="75" t="str">
        <f t="shared" si="30"/>
        <v>-</v>
      </c>
    </row>
    <row r="72" spans="1:50" ht="14.1" customHeight="1" x14ac:dyDescent="0.25">
      <c r="A72" s="43"/>
      <c r="B72" s="221" t="str">
        <f>IF(E12=48,"Всього:",IF(B71&lt;$E$12,B71+1,""))</f>
        <v/>
      </c>
      <c r="C72" s="221"/>
      <c r="D72" s="205" t="str">
        <f>IF(E12=48,SUM(D24:D71),IF(B71&lt;$E$12,AE52,""))</f>
        <v/>
      </c>
      <c r="E72" s="222" t="str">
        <f>IF(E12=48,SUM(E24:F71),IF(B71&lt;$E$12,AG52,""))</f>
        <v/>
      </c>
      <c r="F72" s="222"/>
      <c r="G72" s="222" t="str">
        <f>IF(E12=48,SUM(G24:H71),IF(B71&lt;$E$12,AI52,""))</f>
        <v/>
      </c>
      <c r="H72" s="222"/>
      <c r="I72" s="202"/>
      <c r="J72" s="53"/>
      <c r="K72" s="53"/>
      <c r="L72" s="53"/>
      <c r="M72" s="53"/>
      <c r="N72" s="50"/>
      <c r="O72" s="98"/>
      <c r="S72" s="74"/>
      <c r="AA72" s="196" t="str">
        <f t="shared" si="25"/>
        <v>-</v>
      </c>
      <c r="AB72" s="185" t="str">
        <f t="shared" si="31"/>
        <v>-</v>
      </c>
      <c r="AC72" s="235">
        <f t="shared" si="14"/>
        <v>69</v>
      </c>
      <c r="AD72" s="236"/>
      <c r="AE72" s="83" t="str">
        <f t="shared" si="32"/>
        <v>-</v>
      </c>
      <c r="AF72" s="84"/>
      <c r="AG72" s="241" t="str">
        <f t="shared" si="33"/>
        <v>-</v>
      </c>
      <c r="AH72" s="242"/>
      <c r="AI72" s="243" t="str">
        <f t="shared" si="34"/>
        <v>-</v>
      </c>
      <c r="AJ72" s="244"/>
      <c r="AK72" s="85">
        <f t="shared" ca="1" si="26"/>
        <v>48213</v>
      </c>
      <c r="AL72" s="235">
        <v>69</v>
      </c>
      <c r="AM72" s="236"/>
      <c r="AN72" s="86">
        <f t="shared" si="27"/>
        <v>22222.222222222223</v>
      </c>
      <c r="AO72" s="87"/>
      <c r="AP72" s="237">
        <f t="shared" ca="1" si="28"/>
        <v>-5694.814814814823</v>
      </c>
      <c r="AQ72" s="238"/>
      <c r="AR72" s="239">
        <f t="shared" ca="1" si="29"/>
        <v>16527.407407407401</v>
      </c>
      <c r="AS72" s="240"/>
      <c r="AT72" s="87">
        <f t="shared" ca="1" si="35"/>
        <v>-711111.11111111217</v>
      </c>
      <c r="AU72" s="75" t="str">
        <f t="shared" si="30"/>
        <v>-</v>
      </c>
    </row>
    <row r="73" spans="1:50" ht="14.1" customHeight="1" x14ac:dyDescent="0.25">
      <c r="A73" s="43"/>
      <c r="B73" s="221" t="str">
        <f t="shared" si="15"/>
        <v/>
      </c>
      <c r="C73" s="221"/>
      <c r="D73" s="205" t="str">
        <f t="shared" ref="D73:D83" si="36">IF(B72&lt;$E$12,AE53,"")</f>
        <v/>
      </c>
      <c r="E73" s="222" t="str">
        <f t="shared" ref="E73:E83" si="37">IF(B72&lt;$E$12,AG53,"")</f>
        <v/>
      </c>
      <c r="F73" s="222"/>
      <c r="G73" s="222" t="str">
        <f t="shared" ref="G73:G83" si="38">IF(B72&lt;$E$12,AI53,"")</f>
        <v/>
      </c>
      <c r="H73" s="222"/>
      <c r="I73" s="202"/>
      <c r="J73" s="53"/>
      <c r="K73" s="53"/>
      <c r="L73" s="53"/>
      <c r="M73" s="53"/>
      <c r="N73" s="50"/>
      <c r="O73" s="98"/>
      <c r="S73" s="74"/>
      <c r="AA73" s="196" t="str">
        <f t="shared" si="25"/>
        <v>-</v>
      </c>
      <c r="AB73" s="185" t="str">
        <f t="shared" si="31"/>
        <v>-</v>
      </c>
      <c r="AC73" s="235">
        <f t="shared" si="14"/>
        <v>70</v>
      </c>
      <c r="AD73" s="236"/>
      <c r="AE73" s="83" t="str">
        <f t="shared" si="32"/>
        <v>-</v>
      </c>
      <c r="AF73" s="84"/>
      <c r="AG73" s="241" t="str">
        <f t="shared" si="33"/>
        <v>-</v>
      </c>
      <c r="AH73" s="242"/>
      <c r="AI73" s="243" t="str">
        <f t="shared" si="34"/>
        <v>-</v>
      </c>
      <c r="AJ73" s="244"/>
      <c r="AK73" s="85">
        <f t="shared" ca="1" si="26"/>
        <v>48244</v>
      </c>
      <c r="AL73" s="235">
        <v>70</v>
      </c>
      <c r="AM73" s="236"/>
      <c r="AN73" s="86">
        <f t="shared" si="27"/>
        <v>22222.222222222223</v>
      </c>
      <c r="AO73" s="87"/>
      <c r="AP73" s="237">
        <f t="shared" ca="1" si="28"/>
        <v>-5872.7777777777865</v>
      </c>
      <c r="AQ73" s="238"/>
      <c r="AR73" s="239">
        <f t="shared" ca="1" si="29"/>
        <v>16349.444444444436</v>
      </c>
      <c r="AS73" s="240"/>
      <c r="AT73" s="87">
        <f t="shared" ca="1" si="35"/>
        <v>-733333.33333333442</v>
      </c>
      <c r="AU73" s="75" t="str">
        <f t="shared" si="30"/>
        <v>-</v>
      </c>
    </row>
    <row r="74" spans="1:50" ht="14.1" customHeight="1" x14ac:dyDescent="0.25">
      <c r="A74" s="43"/>
      <c r="B74" s="221" t="str">
        <f t="shared" si="15"/>
        <v/>
      </c>
      <c r="C74" s="221"/>
      <c r="D74" s="205" t="str">
        <f t="shared" si="36"/>
        <v/>
      </c>
      <c r="E74" s="222" t="str">
        <f t="shared" si="37"/>
        <v/>
      </c>
      <c r="F74" s="222"/>
      <c r="G74" s="222" t="str">
        <f t="shared" si="38"/>
        <v/>
      </c>
      <c r="H74" s="222"/>
      <c r="I74" s="202"/>
      <c r="J74" s="53"/>
      <c r="K74" s="53"/>
      <c r="L74" s="53"/>
      <c r="M74" s="53"/>
      <c r="N74" s="50"/>
      <c r="O74" s="98"/>
      <c r="S74" s="74"/>
      <c r="AA74" s="196" t="str">
        <f t="shared" si="25"/>
        <v>-</v>
      </c>
      <c r="AB74" s="185" t="str">
        <f t="shared" si="31"/>
        <v>-</v>
      </c>
      <c r="AC74" s="235">
        <f t="shared" si="14"/>
        <v>71</v>
      </c>
      <c r="AD74" s="236"/>
      <c r="AE74" s="83" t="str">
        <f t="shared" si="32"/>
        <v>-</v>
      </c>
      <c r="AF74" s="84"/>
      <c r="AG74" s="241" t="str">
        <f t="shared" si="33"/>
        <v>-</v>
      </c>
      <c r="AH74" s="242"/>
      <c r="AI74" s="243" t="str">
        <f t="shared" si="34"/>
        <v>-</v>
      </c>
      <c r="AJ74" s="244"/>
      <c r="AK74" s="85">
        <f t="shared" ca="1" si="26"/>
        <v>48273</v>
      </c>
      <c r="AL74" s="235">
        <v>71</v>
      </c>
      <c r="AM74" s="236"/>
      <c r="AN74" s="86">
        <f t="shared" si="27"/>
        <v>22222.222222222223</v>
      </c>
      <c r="AO74" s="87"/>
      <c r="AP74" s="237">
        <f t="shared" ca="1" si="28"/>
        <v>-5660.3703703703795</v>
      </c>
      <c r="AQ74" s="238"/>
      <c r="AR74" s="239">
        <f t="shared" ca="1" si="29"/>
        <v>16561.851851851843</v>
      </c>
      <c r="AS74" s="240"/>
      <c r="AT74" s="87">
        <f t="shared" ca="1" si="35"/>
        <v>-755555.55555555667</v>
      </c>
      <c r="AU74" s="75" t="str">
        <f t="shared" si="30"/>
        <v>-</v>
      </c>
    </row>
    <row r="75" spans="1:50" ht="14.1" customHeight="1" x14ac:dyDescent="0.25">
      <c r="A75" s="43"/>
      <c r="B75" s="221" t="str">
        <f t="shared" si="15"/>
        <v/>
      </c>
      <c r="C75" s="221"/>
      <c r="D75" s="205" t="str">
        <f t="shared" si="36"/>
        <v/>
      </c>
      <c r="E75" s="222" t="str">
        <f t="shared" si="37"/>
        <v/>
      </c>
      <c r="F75" s="222"/>
      <c r="G75" s="222" t="str">
        <f t="shared" si="38"/>
        <v/>
      </c>
      <c r="H75" s="222"/>
      <c r="I75" s="202"/>
      <c r="J75" s="53"/>
      <c r="K75" s="53"/>
      <c r="L75" s="53"/>
      <c r="M75" s="53"/>
      <c r="N75" s="50"/>
      <c r="O75" s="98"/>
      <c r="S75" s="74"/>
      <c r="AA75" s="196" t="str">
        <f>IFERROR(AI75+Z76,"-")</f>
        <v>-</v>
      </c>
      <c r="AB75" s="185" t="str">
        <f t="shared" si="31"/>
        <v>-</v>
      </c>
      <c r="AC75" s="235">
        <f t="shared" si="14"/>
        <v>72</v>
      </c>
      <c r="AD75" s="236"/>
      <c r="AE75" s="83" t="str">
        <f t="shared" si="32"/>
        <v>-</v>
      </c>
      <c r="AF75" s="84"/>
      <c r="AG75" s="241" t="str">
        <f t="shared" si="33"/>
        <v>-</v>
      </c>
      <c r="AH75" s="242"/>
      <c r="AI75" s="243" t="str">
        <f t="shared" si="34"/>
        <v>-</v>
      </c>
      <c r="AJ75" s="244"/>
      <c r="AK75" s="85">
        <f t="shared" ca="1" si="26"/>
        <v>48304</v>
      </c>
      <c r="AL75" s="235">
        <v>72</v>
      </c>
      <c r="AM75" s="236"/>
      <c r="AN75" s="86">
        <f t="shared" si="27"/>
        <v>22222.222222222223</v>
      </c>
      <c r="AO75" s="87"/>
      <c r="AP75" s="237">
        <f t="shared" ca="1" si="28"/>
        <v>-6228.7037037037135</v>
      </c>
      <c r="AQ75" s="238"/>
      <c r="AR75" s="239">
        <f t="shared" ca="1" si="29"/>
        <v>15993.518518518509</v>
      </c>
      <c r="AS75" s="240"/>
      <c r="AT75" s="87">
        <f t="shared" ca="1" si="35"/>
        <v>-777777.77777777892</v>
      </c>
      <c r="AU75" s="75" t="str">
        <f t="shared" si="30"/>
        <v>-</v>
      </c>
    </row>
    <row r="76" spans="1:50" ht="14.1" customHeight="1" x14ac:dyDescent="0.25">
      <c r="A76" s="43"/>
      <c r="B76" s="221" t="str">
        <f t="shared" si="15"/>
        <v/>
      </c>
      <c r="C76" s="221"/>
      <c r="D76" s="205" t="str">
        <f t="shared" si="36"/>
        <v/>
      </c>
      <c r="E76" s="222" t="str">
        <f t="shared" si="37"/>
        <v/>
      </c>
      <c r="F76" s="222"/>
      <c r="G76" s="222" t="str">
        <f t="shared" si="38"/>
        <v/>
      </c>
      <c r="H76" s="222"/>
      <c r="I76" s="202"/>
      <c r="J76" s="53"/>
      <c r="K76" s="53"/>
      <c r="L76" s="53"/>
      <c r="M76" s="53"/>
      <c r="N76" s="50"/>
      <c r="O76" s="98"/>
      <c r="S76" s="74"/>
      <c r="Z76" s="116">
        <f>IF($V$26&gt;AC76,$E$4*0.9*0.9*0.9*0.9*0.9*0.9*T33,0)</f>
        <v>0</v>
      </c>
      <c r="AA76" s="196" t="str">
        <f t="shared" si="25"/>
        <v>-</v>
      </c>
      <c r="AB76" s="185" t="str">
        <f t="shared" si="31"/>
        <v>-</v>
      </c>
      <c r="AC76" s="235">
        <f t="shared" si="14"/>
        <v>73</v>
      </c>
      <c r="AD76" s="236"/>
      <c r="AE76" s="83" t="str">
        <f t="shared" si="32"/>
        <v>-</v>
      </c>
      <c r="AF76" s="84"/>
      <c r="AG76" s="241" t="str">
        <f t="shared" si="33"/>
        <v>-</v>
      </c>
      <c r="AH76" s="242"/>
      <c r="AI76" s="243" t="str">
        <f t="shared" si="34"/>
        <v>-</v>
      </c>
      <c r="AJ76" s="244"/>
      <c r="AK76" s="85">
        <f t="shared" ca="1" si="26"/>
        <v>48334</v>
      </c>
      <c r="AL76" s="235">
        <v>73</v>
      </c>
      <c r="AM76" s="236"/>
      <c r="AN76" s="86">
        <f t="shared" si="27"/>
        <v>22222.222222222223</v>
      </c>
      <c r="AO76" s="87"/>
      <c r="AP76" s="237">
        <f t="shared" ca="1" si="28"/>
        <v>-6200.00000000001</v>
      </c>
      <c r="AQ76" s="238"/>
      <c r="AR76" s="239">
        <f t="shared" ca="1" si="29"/>
        <v>16022.222222222212</v>
      </c>
      <c r="AS76" s="240"/>
      <c r="AT76" s="87">
        <f t="shared" ca="1" si="35"/>
        <v>-800000.00000000116</v>
      </c>
      <c r="AU76" s="75" t="e">
        <f>AI76+AW76+AX76</f>
        <v>#VALUE!</v>
      </c>
      <c r="AW76" s="63" t="str">
        <f>IF($E$12&gt;$R$7,$E$4*0.9*0.9*0.9*0.9*0.9*0.9*5.5%,"")</f>
        <v/>
      </c>
      <c r="AX76" s="63" t="e">
        <f>IF(#REF!=0,0,IF($E$12&gt;$R$7,(AE90-SUM(AE4:AE75))*0.0299,""))</f>
        <v>#REF!</v>
      </c>
    </row>
    <row r="77" spans="1:50" ht="14.1" customHeight="1" x14ac:dyDescent="0.25">
      <c r="A77" s="43"/>
      <c r="B77" s="221" t="str">
        <f t="shared" si="15"/>
        <v/>
      </c>
      <c r="C77" s="221"/>
      <c r="D77" s="205" t="str">
        <f t="shared" si="36"/>
        <v/>
      </c>
      <c r="E77" s="222" t="str">
        <f t="shared" si="37"/>
        <v/>
      </c>
      <c r="F77" s="222"/>
      <c r="G77" s="222" t="str">
        <f t="shared" si="38"/>
        <v/>
      </c>
      <c r="H77" s="222"/>
      <c r="I77" s="202"/>
      <c r="J77" s="53"/>
      <c r="K77" s="53"/>
      <c r="L77" s="53"/>
      <c r="M77" s="53"/>
      <c r="N77" s="50"/>
      <c r="O77" s="98"/>
      <c r="S77" s="74"/>
      <c r="AA77" s="196" t="str">
        <f t="shared" si="25"/>
        <v>-</v>
      </c>
      <c r="AB77" s="185" t="str">
        <f t="shared" si="31"/>
        <v>-</v>
      </c>
      <c r="AC77" s="235">
        <f t="shared" si="14"/>
        <v>74</v>
      </c>
      <c r="AD77" s="236"/>
      <c r="AE77" s="83" t="str">
        <f t="shared" si="32"/>
        <v>-</v>
      </c>
      <c r="AF77" s="84"/>
      <c r="AG77" s="241" t="str">
        <f t="shared" si="33"/>
        <v>-</v>
      </c>
      <c r="AH77" s="242"/>
      <c r="AI77" s="243" t="str">
        <f t="shared" si="34"/>
        <v>-</v>
      </c>
      <c r="AJ77" s="244"/>
      <c r="AK77" s="85">
        <f t="shared" ca="1" si="26"/>
        <v>48365</v>
      </c>
      <c r="AL77" s="235">
        <v>74</v>
      </c>
      <c r="AM77" s="236"/>
      <c r="AN77" s="86">
        <f t="shared" si="27"/>
        <v>22222.222222222223</v>
      </c>
      <c r="AO77" s="87"/>
      <c r="AP77" s="237">
        <f t="shared" ca="1" si="28"/>
        <v>-6584.6296296296396</v>
      </c>
      <c r="AQ77" s="238"/>
      <c r="AR77" s="239">
        <f t="shared" ca="1" si="29"/>
        <v>15637.592592592584</v>
      </c>
      <c r="AS77" s="240"/>
      <c r="AT77" s="87">
        <f t="shared" ca="1" si="35"/>
        <v>-822222.22222222341</v>
      </c>
      <c r="AU77" s="75" t="str">
        <f t="shared" si="30"/>
        <v>-</v>
      </c>
    </row>
    <row r="78" spans="1:50" ht="14.1" customHeight="1" x14ac:dyDescent="0.25">
      <c r="A78" s="43"/>
      <c r="B78" s="221" t="str">
        <f t="shared" si="15"/>
        <v/>
      </c>
      <c r="C78" s="221"/>
      <c r="D78" s="205" t="str">
        <f t="shared" si="36"/>
        <v/>
      </c>
      <c r="E78" s="222" t="str">
        <f t="shared" si="37"/>
        <v/>
      </c>
      <c r="F78" s="222"/>
      <c r="G78" s="222" t="str">
        <f t="shared" si="38"/>
        <v/>
      </c>
      <c r="H78" s="222"/>
      <c r="I78" s="202"/>
      <c r="J78" s="53"/>
      <c r="K78" s="53"/>
      <c r="L78" s="53"/>
      <c r="M78" s="53"/>
      <c r="N78" s="50"/>
      <c r="O78" s="98"/>
      <c r="S78" s="74"/>
      <c r="AA78" s="196" t="str">
        <f t="shared" si="25"/>
        <v>-</v>
      </c>
      <c r="AB78" s="185" t="str">
        <f t="shared" si="31"/>
        <v>-</v>
      </c>
      <c r="AC78" s="235">
        <f t="shared" si="14"/>
        <v>75</v>
      </c>
      <c r="AD78" s="236"/>
      <c r="AE78" s="83" t="str">
        <f t="shared" si="32"/>
        <v>-</v>
      </c>
      <c r="AF78" s="84"/>
      <c r="AG78" s="241" t="str">
        <f t="shared" si="33"/>
        <v>-</v>
      </c>
      <c r="AH78" s="242"/>
      <c r="AI78" s="243" t="str">
        <f t="shared" si="34"/>
        <v>-</v>
      </c>
      <c r="AJ78" s="244"/>
      <c r="AK78" s="85">
        <f t="shared" ca="1" si="26"/>
        <v>48395</v>
      </c>
      <c r="AL78" s="235">
        <v>75</v>
      </c>
      <c r="AM78" s="236"/>
      <c r="AN78" s="86">
        <f t="shared" si="27"/>
        <v>22222.222222222223</v>
      </c>
      <c r="AO78" s="87"/>
      <c r="AP78" s="237">
        <f t="shared" ca="1" si="28"/>
        <v>-6544.4444444444534</v>
      </c>
      <c r="AQ78" s="238"/>
      <c r="AR78" s="239">
        <f t="shared" ca="1" si="29"/>
        <v>15677.77777777777</v>
      </c>
      <c r="AS78" s="240"/>
      <c r="AT78" s="87">
        <f t="shared" ca="1" si="35"/>
        <v>-844444.44444444566</v>
      </c>
      <c r="AU78" s="75" t="str">
        <f t="shared" si="30"/>
        <v>-</v>
      </c>
    </row>
    <row r="79" spans="1:50" ht="14.1" customHeight="1" x14ac:dyDescent="0.25">
      <c r="A79" s="43"/>
      <c r="B79" s="221" t="str">
        <f t="shared" si="15"/>
        <v/>
      </c>
      <c r="C79" s="221"/>
      <c r="D79" s="205" t="str">
        <f t="shared" si="36"/>
        <v/>
      </c>
      <c r="E79" s="222" t="str">
        <f t="shared" si="37"/>
        <v/>
      </c>
      <c r="F79" s="222"/>
      <c r="G79" s="222" t="str">
        <f t="shared" si="38"/>
        <v/>
      </c>
      <c r="H79" s="222"/>
      <c r="I79" s="202"/>
      <c r="J79" s="53"/>
      <c r="K79" s="53"/>
      <c r="L79" s="53"/>
      <c r="M79" s="53"/>
      <c r="N79" s="50"/>
      <c r="O79" s="98"/>
      <c r="S79" s="74"/>
      <c r="AA79" s="196" t="str">
        <f t="shared" si="25"/>
        <v>-</v>
      </c>
      <c r="AB79" s="185" t="str">
        <f t="shared" si="31"/>
        <v>-</v>
      </c>
      <c r="AC79" s="235">
        <f>AC78+1</f>
        <v>76</v>
      </c>
      <c r="AD79" s="236"/>
      <c r="AE79" s="83" t="str">
        <f t="shared" si="32"/>
        <v>-</v>
      </c>
      <c r="AF79" s="84"/>
      <c r="AG79" s="241" t="str">
        <f t="shared" si="33"/>
        <v>-</v>
      </c>
      <c r="AH79" s="242"/>
      <c r="AI79" s="243" t="str">
        <f t="shared" si="34"/>
        <v>-</v>
      </c>
      <c r="AJ79" s="244"/>
      <c r="AK79" s="85">
        <f t="shared" ca="1" si="26"/>
        <v>48426</v>
      </c>
      <c r="AL79" s="235">
        <v>76</v>
      </c>
      <c r="AM79" s="236"/>
      <c r="AN79" s="86">
        <f t="shared" si="27"/>
        <v>22222.222222222223</v>
      </c>
      <c r="AO79" s="87"/>
      <c r="AP79" s="237">
        <f t="shared" ca="1" si="28"/>
        <v>-6940.5555555555657</v>
      </c>
      <c r="AQ79" s="238"/>
      <c r="AR79" s="239">
        <f t="shared" ca="1" si="29"/>
        <v>15281.666666666657</v>
      </c>
      <c r="AS79" s="240"/>
      <c r="AT79" s="87">
        <f t="shared" ca="1" si="35"/>
        <v>-866666.66666666791</v>
      </c>
      <c r="AU79" s="75" t="str">
        <f t="shared" si="30"/>
        <v>-</v>
      </c>
    </row>
    <row r="80" spans="1:50" ht="14.1" customHeight="1" x14ac:dyDescent="0.25">
      <c r="A80" s="43"/>
      <c r="B80" s="221" t="str">
        <f t="shared" si="15"/>
        <v/>
      </c>
      <c r="C80" s="221"/>
      <c r="D80" s="205" t="str">
        <f t="shared" si="36"/>
        <v/>
      </c>
      <c r="E80" s="222" t="str">
        <f t="shared" si="37"/>
        <v/>
      </c>
      <c r="F80" s="222"/>
      <c r="G80" s="222" t="str">
        <f t="shared" si="38"/>
        <v/>
      </c>
      <c r="H80" s="222"/>
      <c r="I80" s="202"/>
      <c r="J80" s="53"/>
      <c r="K80" s="53"/>
      <c r="L80" s="53"/>
      <c r="M80" s="53"/>
      <c r="N80" s="50"/>
      <c r="O80" s="98"/>
      <c r="S80" s="74"/>
      <c r="AA80" s="196" t="str">
        <f t="shared" si="25"/>
        <v>-</v>
      </c>
      <c r="AB80" s="185" t="str">
        <f t="shared" si="31"/>
        <v>-</v>
      </c>
      <c r="AC80" s="235">
        <f t="shared" ref="AC80:AC86" si="39">AC79+1</f>
        <v>77</v>
      </c>
      <c r="AD80" s="236"/>
      <c r="AE80" s="83" t="str">
        <f t="shared" si="32"/>
        <v>-</v>
      </c>
      <c r="AF80" s="84"/>
      <c r="AG80" s="241" t="str">
        <f t="shared" si="33"/>
        <v>-</v>
      </c>
      <c r="AH80" s="242"/>
      <c r="AI80" s="243" t="str">
        <f t="shared" si="34"/>
        <v>-</v>
      </c>
      <c r="AJ80" s="244"/>
      <c r="AK80" s="85">
        <f t="shared" ca="1" si="26"/>
        <v>48457</v>
      </c>
      <c r="AL80" s="235">
        <v>77</v>
      </c>
      <c r="AM80" s="236"/>
      <c r="AN80" s="86">
        <f t="shared" si="27"/>
        <v>22222.222222222223</v>
      </c>
      <c r="AO80" s="87"/>
      <c r="AP80" s="237">
        <f t="shared" ca="1" si="28"/>
        <v>-7118.5185185185283</v>
      </c>
      <c r="AQ80" s="238"/>
      <c r="AR80" s="239">
        <f t="shared" ca="1" si="29"/>
        <v>15103.703703703693</v>
      </c>
      <c r="AS80" s="240"/>
      <c r="AT80" s="87">
        <f t="shared" ca="1" si="35"/>
        <v>-888888.88888889016</v>
      </c>
      <c r="AU80" s="75" t="str">
        <f t="shared" si="30"/>
        <v>-</v>
      </c>
    </row>
    <row r="81" spans="1:47" ht="14.1" customHeight="1" x14ac:dyDescent="0.25">
      <c r="A81" s="43"/>
      <c r="B81" s="221" t="str">
        <f t="shared" si="15"/>
        <v/>
      </c>
      <c r="C81" s="221"/>
      <c r="D81" s="205" t="str">
        <f t="shared" si="36"/>
        <v/>
      </c>
      <c r="E81" s="222" t="str">
        <f t="shared" si="37"/>
        <v/>
      </c>
      <c r="F81" s="222"/>
      <c r="G81" s="222" t="str">
        <f t="shared" si="38"/>
        <v/>
      </c>
      <c r="H81" s="222"/>
      <c r="I81" s="202"/>
      <c r="J81" s="53"/>
      <c r="K81" s="53"/>
      <c r="L81" s="53"/>
      <c r="M81" s="53"/>
      <c r="N81" s="50"/>
      <c r="O81" s="98"/>
      <c r="S81" s="74"/>
      <c r="AA81" s="196" t="str">
        <f t="shared" si="25"/>
        <v>-</v>
      </c>
      <c r="AB81" s="185" t="str">
        <f t="shared" si="31"/>
        <v>-</v>
      </c>
      <c r="AC81" s="235">
        <f t="shared" si="39"/>
        <v>78</v>
      </c>
      <c r="AD81" s="236"/>
      <c r="AE81" s="83" t="str">
        <f t="shared" si="32"/>
        <v>-</v>
      </c>
      <c r="AF81" s="84"/>
      <c r="AG81" s="241" t="str">
        <f t="shared" si="33"/>
        <v>-</v>
      </c>
      <c r="AH81" s="242"/>
      <c r="AI81" s="243" t="str">
        <f t="shared" si="34"/>
        <v>-</v>
      </c>
      <c r="AJ81" s="244"/>
      <c r="AK81" s="85">
        <f t="shared" ca="1" si="26"/>
        <v>48487</v>
      </c>
      <c r="AL81" s="235">
        <v>78</v>
      </c>
      <c r="AM81" s="236"/>
      <c r="AN81" s="86">
        <f t="shared" si="27"/>
        <v>22222.222222222223</v>
      </c>
      <c r="AO81" s="87"/>
      <c r="AP81" s="237">
        <f t="shared" ca="1" si="28"/>
        <v>-7061.1111111111204</v>
      </c>
      <c r="AQ81" s="238"/>
      <c r="AR81" s="239">
        <f t="shared" ca="1" si="29"/>
        <v>15161.111111111102</v>
      </c>
      <c r="AS81" s="240"/>
      <c r="AT81" s="87">
        <f t="shared" ca="1" si="35"/>
        <v>-911111.1111111124</v>
      </c>
      <c r="AU81" s="75" t="str">
        <f t="shared" si="30"/>
        <v>-</v>
      </c>
    </row>
    <row r="82" spans="1:47" ht="14.1" customHeight="1" x14ac:dyDescent="0.25">
      <c r="A82" s="43"/>
      <c r="B82" s="221" t="str">
        <f t="shared" si="15"/>
        <v/>
      </c>
      <c r="C82" s="221"/>
      <c r="D82" s="205" t="str">
        <f t="shared" si="36"/>
        <v/>
      </c>
      <c r="E82" s="222" t="str">
        <f t="shared" si="37"/>
        <v/>
      </c>
      <c r="F82" s="222"/>
      <c r="G82" s="222" t="str">
        <f t="shared" si="38"/>
        <v/>
      </c>
      <c r="H82" s="222"/>
      <c r="I82" s="202"/>
      <c r="J82" s="53"/>
      <c r="K82" s="53"/>
      <c r="L82" s="53"/>
      <c r="M82" s="53"/>
      <c r="N82" s="50"/>
      <c r="O82" s="98"/>
      <c r="S82" s="74"/>
      <c r="AA82" s="196" t="str">
        <f t="shared" si="25"/>
        <v>-</v>
      </c>
      <c r="AB82" s="185" t="str">
        <f t="shared" si="31"/>
        <v>-</v>
      </c>
      <c r="AC82" s="235">
        <f t="shared" si="39"/>
        <v>79</v>
      </c>
      <c r="AD82" s="236"/>
      <c r="AE82" s="83" t="str">
        <f t="shared" si="32"/>
        <v>-</v>
      </c>
      <c r="AF82" s="84"/>
      <c r="AG82" s="241" t="str">
        <f t="shared" si="33"/>
        <v>-</v>
      </c>
      <c r="AH82" s="242"/>
      <c r="AI82" s="243" t="str">
        <f t="shared" si="34"/>
        <v>-</v>
      </c>
      <c r="AJ82" s="244"/>
      <c r="AK82" s="85">
        <f t="shared" ca="1" si="26"/>
        <v>48518</v>
      </c>
      <c r="AL82" s="235">
        <v>79</v>
      </c>
      <c r="AM82" s="236"/>
      <c r="AN82" s="86">
        <f t="shared" si="27"/>
        <v>22222.222222222223</v>
      </c>
      <c r="AO82" s="87"/>
      <c r="AP82" s="237">
        <f t="shared" ca="1" si="28"/>
        <v>-7474.4444444444562</v>
      </c>
      <c r="AQ82" s="238"/>
      <c r="AR82" s="239">
        <f t="shared" ca="1" si="29"/>
        <v>14747.777777777766</v>
      </c>
      <c r="AS82" s="240"/>
      <c r="AT82" s="87">
        <f t="shared" ca="1" si="35"/>
        <v>-933333.33333333465</v>
      </c>
      <c r="AU82" s="75" t="str">
        <f t="shared" si="30"/>
        <v>-</v>
      </c>
    </row>
    <row r="83" spans="1:47" ht="14.1" customHeight="1" x14ac:dyDescent="0.25">
      <c r="A83" s="43"/>
      <c r="B83" s="221" t="str">
        <f t="shared" si="15"/>
        <v/>
      </c>
      <c r="C83" s="221"/>
      <c r="D83" s="205" t="str">
        <f t="shared" si="36"/>
        <v/>
      </c>
      <c r="E83" s="222" t="str">
        <f t="shared" si="37"/>
        <v/>
      </c>
      <c r="F83" s="222"/>
      <c r="G83" s="222" t="str">
        <f t="shared" si="38"/>
        <v/>
      </c>
      <c r="H83" s="222"/>
      <c r="I83" s="202"/>
      <c r="J83" s="53"/>
      <c r="K83" s="53"/>
      <c r="L83" s="53"/>
      <c r="M83" s="53"/>
      <c r="N83" s="50"/>
      <c r="O83" s="98"/>
      <c r="S83" s="74"/>
      <c r="AA83" s="196" t="str">
        <f t="shared" si="25"/>
        <v>-</v>
      </c>
      <c r="AB83" s="185" t="str">
        <f t="shared" si="31"/>
        <v>-</v>
      </c>
      <c r="AC83" s="235">
        <f t="shared" si="39"/>
        <v>80</v>
      </c>
      <c r="AD83" s="236"/>
      <c r="AE83" s="83" t="str">
        <f t="shared" si="32"/>
        <v>-</v>
      </c>
      <c r="AF83" s="84"/>
      <c r="AG83" s="241" t="str">
        <f t="shared" si="33"/>
        <v>-</v>
      </c>
      <c r="AH83" s="242"/>
      <c r="AI83" s="243" t="str">
        <f t="shared" si="34"/>
        <v>-</v>
      </c>
      <c r="AJ83" s="244"/>
      <c r="AK83" s="85">
        <f t="shared" ca="1" si="26"/>
        <v>48548</v>
      </c>
      <c r="AL83" s="235">
        <v>80</v>
      </c>
      <c r="AM83" s="236"/>
      <c r="AN83" s="86">
        <f t="shared" si="27"/>
        <v>22222.222222222223</v>
      </c>
      <c r="AO83" s="87"/>
      <c r="AP83" s="237">
        <f t="shared" ca="1" si="28"/>
        <v>-7405.5555555555657</v>
      </c>
      <c r="AQ83" s="238"/>
      <c r="AR83" s="239">
        <f t="shared" ca="1" si="29"/>
        <v>14816.666666666657</v>
      </c>
      <c r="AS83" s="240"/>
      <c r="AT83" s="87">
        <f t="shared" ca="1" si="35"/>
        <v>-955555.5555555569</v>
      </c>
      <c r="AU83" s="75" t="str">
        <f t="shared" si="30"/>
        <v>-</v>
      </c>
    </row>
    <row r="84" spans="1:47" ht="14.1" customHeight="1" x14ac:dyDescent="0.25">
      <c r="A84" s="43"/>
      <c r="B84" s="221" t="str">
        <f>IF(E12=60,"Всього:",IF(B83&lt;$E$12,B83+1,""))</f>
        <v/>
      </c>
      <c r="C84" s="221"/>
      <c r="D84" s="205" t="str">
        <f>IF(E12=60,SUM(D24:D83),IF(B83&lt;$E$12,AE64,""))</f>
        <v/>
      </c>
      <c r="E84" s="222" t="str">
        <f>IF(E12=60,SUM(E24:F83),IF(B83&lt;$E$12,AG64,""))</f>
        <v/>
      </c>
      <c r="F84" s="222"/>
      <c r="G84" s="222" t="str">
        <f>IF(E12=60,SUM(G24:H83),IF(B83&lt;$E$12,AI64,""))</f>
        <v/>
      </c>
      <c r="H84" s="222"/>
      <c r="I84" s="202"/>
      <c r="J84" s="53"/>
      <c r="K84" s="53"/>
      <c r="L84" s="53"/>
      <c r="M84" s="53"/>
      <c r="N84" s="50"/>
      <c r="O84" s="98"/>
      <c r="AA84" s="196" t="str">
        <f t="shared" si="25"/>
        <v>-</v>
      </c>
      <c r="AB84" s="185" t="str">
        <f t="shared" si="31"/>
        <v>-</v>
      </c>
      <c r="AC84" s="235">
        <f t="shared" si="39"/>
        <v>81</v>
      </c>
      <c r="AD84" s="236"/>
      <c r="AE84" s="83" t="str">
        <f t="shared" si="32"/>
        <v>-</v>
      </c>
      <c r="AF84" s="84"/>
      <c r="AG84" s="241" t="str">
        <f t="shared" si="33"/>
        <v>-</v>
      </c>
      <c r="AH84" s="242"/>
      <c r="AI84" s="243" t="str">
        <f t="shared" si="34"/>
        <v>-</v>
      </c>
      <c r="AJ84" s="244"/>
      <c r="AK84" s="85">
        <f t="shared" ca="1" si="26"/>
        <v>48579</v>
      </c>
      <c r="AL84" s="235">
        <v>81</v>
      </c>
      <c r="AM84" s="236"/>
      <c r="AN84" s="86">
        <f t="shared" si="27"/>
        <v>22222.222222222223</v>
      </c>
      <c r="AO84" s="87"/>
      <c r="AP84" s="237">
        <f t="shared" ca="1" si="28"/>
        <v>-7830.3703703703823</v>
      </c>
      <c r="AQ84" s="238"/>
      <c r="AR84" s="239">
        <f t="shared" ca="1" si="29"/>
        <v>14391.851851851839</v>
      </c>
      <c r="AS84" s="240"/>
      <c r="AT84" s="87">
        <f t="shared" ca="1" si="35"/>
        <v>-977777.77777777915</v>
      </c>
      <c r="AU84" s="75" t="str">
        <f t="shared" si="30"/>
        <v>-</v>
      </c>
    </row>
    <row r="85" spans="1:47" ht="14.1" customHeight="1" x14ac:dyDescent="0.25">
      <c r="A85" s="43"/>
      <c r="B85" s="221" t="str">
        <f t="shared" si="15"/>
        <v/>
      </c>
      <c r="C85" s="221"/>
      <c r="D85" s="205" t="str">
        <f t="shared" ref="D85:D95" si="40">IF(B84&lt;$E$12,AE65,"")</f>
        <v/>
      </c>
      <c r="E85" s="222" t="str">
        <f t="shared" ref="E85:E95" si="41">IF(B84&lt;$E$12,AG65,"")</f>
        <v/>
      </c>
      <c r="F85" s="222"/>
      <c r="G85" s="222" t="str">
        <f t="shared" ref="G85:G95" si="42">IF(B84&lt;$E$12,AI65,"")</f>
        <v/>
      </c>
      <c r="H85" s="222"/>
      <c r="I85" s="202"/>
      <c r="J85" s="53"/>
      <c r="K85" s="53"/>
      <c r="L85" s="53"/>
      <c r="M85" s="53"/>
      <c r="N85" s="50"/>
      <c r="O85" s="98"/>
      <c r="AA85" s="196" t="str">
        <f t="shared" si="25"/>
        <v>-</v>
      </c>
      <c r="AB85" s="185" t="str">
        <f t="shared" si="31"/>
        <v>-</v>
      </c>
      <c r="AC85" s="235">
        <f t="shared" si="39"/>
        <v>82</v>
      </c>
      <c r="AD85" s="236"/>
      <c r="AE85" s="83" t="str">
        <f t="shared" si="32"/>
        <v>-</v>
      </c>
      <c r="AF85" s="84"/>
      <c r="AG85" s="241" t="str">
        <f t="shared" si="33"/>
        <v>-</v>
      </c>
      <c r="AH85" s="242"/>
      <c r="AI85" s="243" t="str">
        <f t="shared" si="34"/>
        <v>-</v>
      </c>
      <c r="AJ85" s="244"/>
      <c r="AK85" s="85">
        <f t="shared" ca="1" si="26"/>
        <v>48610</v>
      </c>
      <c r="AL85" s="235">
        <v>82</v>
      </c>
      <c r="AM85" s="236"/>
      <c r="AN85" s="86">
        <f t="shared" si="27"/>
        <v>22222.222222222223</v>
      </c>
      <c r="AO85" s="87"/>
      <c r="AP85" s="237">
        <f t="shared" ca="1" si="28"/>
        <v>-8008.3333333333449</v>
      </c>
      <c r="AQ85" s="238"/>
      <c r="AR85" s="239">
        <f t="shared" ca="1" si="29"/>
        <v>14213.888888888878</v>
      </c>
      <c r="AS85" s="240"/>
      <c r="AT85" s="87">
        <f t="shared" ca="1" si="35"/>
        <v>-1000000.0000000014</v>
      </c>
      <c r="AU85" s="75" t="str">
        <f t="shared" si="30"/>
        <v>-</v>
      </c>
    </row>
    <row r="86" spans="1:47" ht="14.1" customHeight="1" x14ac:dyDescent="0.25">
      <c r="A86" s="43"/>
      <c r="B86" s="221" t="str">
        <f t="shared" si="15"/>
        <v/>
      </c>
      <c r="C86" s="221"/>
      <c r="D86" s="205" t="str">
        <f t="shared" si="40"/>
        <v/>
      </c>
      <c r="E86" s="222" t="str">
        <f t="shared" si="41"/>
        <v/>
      </c>
      <c r="F86" s="222"/>
      <c r="G86" s="222" t="str">
        <f t="shared" si="42"/>
        <v/>
      </c>
      <c r="H86" s="222"/>
      <c r="I86" s="202"/>
      <c r="J86" s="53"/>
      <c r="K86" s="53"/>
      <c r="L86" s="53"/>
      <c r="M86" s="53"/>
      <c r="N86" s="50"/>
      <c r="O86" s="98"/>
      <c r="AA86" s="196" t="str">
        <f t="shared" si="25"/>
        <v>-</v>
      </c>
      <c r="AB86" s="185" t="str">
        <f t="shared" si="31"/>
        <v>-</v>
      </c>
      <c r="AC86" s="235">
        <f t="shared" si="39"/>
        <v>83</v>
      </c>
      <c r="AD86" s="236"/>
      <c r="AE86" s="83" t="str">
        <f t="shared" si="32"/>
        <v>-</v>
      </c>
      <c r="AF86" s="84"/>
      <c r="AG86" s="241" t="str">
        <f t="shared" si="33"/>
        <v>-</v>
      </c>
      <c r="AH86" s="242"/>
      <c r="AI86" s="243" t="str">
        <f t="shared" si="34"/>
        <v>-</v>
      </c>
      <c r="AJ86" s="244"/>
      <c r="AK86" s="85">
        <f t="shared" ca="1" si="26"/>
        <v>48638</v>
      </c>
      <c r="AL86" s="235">
        <v>83</v>
      </c>
      <c r="AM86" s="236"/>
      <c r="AN86" s="86">
        <f t="shared" si="27"/>
        <v>22222.222222222223</v>
      </c>
      <c r="AO86" s="87"/>
      <c r="AP86" s="237">
        <f t="shared" ca="1" si="28"/>
        <v>-7394.0740740740857</v>
      </c>
      <c r="AQ86" s="238"/>
      <c r="AR86" s="239">
        <f t="shared" ca="1" si="29"/>
        <v>14828.148148148137</v>
      </c>
      <c r="AS86" s="240"/>
      <c r="AT86" s="87">
        <f t="shared" ca="1" si="35"/>
        <v>-1022222.2222222236</v>
      </c>
      <c r="AU86" s="75" t="str">
        <f t="shared" si="30"/>
        <v>-</v>
      </c>
    </row>
    <row r="87" spans="1:47" ht="14.1" customHeight="1" x14ac:dyDescent="0.25">
      <c r="A87" s="43"/>
      <c r="B87" s="221" t="str">
        <f t="shared" si="15"/>
        <v/>
      </c>
      <c r="C87" s="221"/>
      <c r="D87" s="205" t="str">
        <f t="shared" si="40"/>
        <v/>
      </c>
      <c r="E87" s="222" t="str">
        <f t="shared" si="41"/>
        <v/>
      </c>
      <c r="F87" s="222"/>
      <c r="G87" s="222" t="str">
        <f t="shared" si="42"/>
        <v/>
      </c>
      <c r="H87" s="222"/>
      <c r="I87" s="202"/>
      <c r="J87" s="53"/>
      <c r="K87" s="53"/>
      <c r="L87" s="53"/>
      <c r="M87" s="53"/>
      <c r="N87" s="50"/>
      <c r="O87" s="98"/>
      <c r="AA87" s="196" t="str">
        <f t="shared" si="25"/>
        <v>-</v>
      </c>
      <c r="AB87" s="185" t="str">
        <f t="shared" si="31"/>
        <v>-</v>
      </c>
      <c r="AC87" s="235">
        <f>AC86+1</f>
        <v>84</v>
      </c>
      <c r="AD87" s="236"/>
      <c r="AE87" s="83" t="str">
        <f t="shared" si="32"/>
        <v>-</v>
      </c>
      <c r="AF87" s="84"/>
      <c r="AG87" s="241" t="str">
        <f t="shared" si="33"/>
        <v>-</v>
      </c>
      <c r="AH87" s="242"/>
      <c r="AI87" s="243" t="str">
        <f t="shared" si="34"/>
        <v>-</v>
      </c>
      <c r="AJ87" s="244"/>
      <c r="AK87" s="85">
        <f t="shared" ca="1" si="26"/>
        <v>48669</v>
      </c>
      <c r="AL87" s="235">
        <v>84</v>
      </c>
      <c r="AM87" s="236"/>
      <c r="AN87" s="86">
        <f t="shared" si="27"/>
        <v>22222.222222222223</v>
      </c>
      <c r="AO87" s="87"/>
      <c r="AP87" s="237">
        <f t="shared" ca="1" si="28"/>
        <v>-8364.2592592592719</v>
      </c>
      <c r="AQ87" s="238"/>
      <c r="AR87" s="239">
        <f t="shared" ca="1" si="29"/>
        <v>13857.962962962951</v>
      </c>
      <c r="AS87" s="240"/>
      <c r="AT87" s="87">
        <f t="shared" ca="1" si="35"/>
        <v>-1044444.4444444459</v>
      </c>
      <c r="AU87" s="75" t="str">
        <f t="shared" si="30"/>
        <v>-</v>
      </c>
    </row>
    <row r="88" spans="1:47" ht="14.1" customHeight="1" thickBot="1" x14ac:dyDescent="0.3">
      <c r="A88" s="43"/>
      <c r="B88" s="221" t="str">
        <f t="shared" si="15"/>
        <v/>
      </c>
      <c r="C88" s="221"/>
      <c r="D88" s="205" t="str">
        <f t="shared" si="40"/>
        <v/>
      </c>
      <c r="E88" s="222" t="str">
        <f t="shared" si="41"/>
        <v/>
      </c>
      <c r="F88" s="222"/>
      <c r="G88" s="222" t="str">
        <f t="shared" si="42"/>
        <v/>
      </c>
      <c r="H88" s="222"/>
      <c r="I88" s="202"/>
      <c r="J88" s="53"/>
      <c r="K88" s="53"/>
      <c r="L88" s="53"/>
      <c r="M88" s="53"/>
      <c r="N88" s="50"/>
      <c r="O88" s="98"/>
      <c r="AB88" s="184"/>
      <c r="AC88" s="226" t="s">
        <v>282</v>
      </c>
      <c r="AD88" s="227"/>
      <c r="AE88" s="83">
        <f>IF($E$12=$R$2,SUM(AE4:AF15),IF($E$12=$R$3,SUM(AE4:AF27),IF($E$12=$R$4,SUM(AE4:AF39),IF($E$12=$R$5,SUM(AE4:AF51),IF($E$12=$R$6,SUM(AE4:AF63),IF($E$12=$R$7,SUM(AE4:AF75),IF($E$12=$R$8,SUM(AE4:AF87))))))))</f>
        <v>799999.99999999988</v>
      </c>
      <c r="AF88" s="183"/>
      <c r="AG88" s="241">
        <f>IF($E$12=$R$2,SUM(AG4:AH15),IF($E$12=$R$3,SUM(AG4:AH27),IF($E$12=$R$4,SUM(AG4:AH39),IF($E$12=$R$5,SUM(AG4:AH51),IF($E$12=$R$6,SUM(AG4:AH63),IF($E$12=$R$7,SUM(AG4:AH75),IF($E$12=$R$8,SUM(AG4:AH87))))))))</f>
        <v>119858.76295512365</v>
      </c>
      <c r="AH88" s="242"/>
      <c r="AI88" s="243">
        <f>IF($E$12=$R$2,SUM(AI4:AJ15),IF($E$12=$R$3,SUM(AI4:AJ27),IF($E$12=$R$4,SUM(AI4:AJ39),IF($E$12=$R$5,SUM(AI4:AJ51),IF($E$12=$R$6,SUM(AI4:AJ63),IF($E$12=$R$7,SUM(AI4:AJ75),IF($E$12=$R$8,SUM(AI4:AJ87))))))))</f>
        <v>919858.76295512286</v>
      </c>
      <c r="AJ88" s="244"/>
      <c r="AK88" s="85">
        <f t="shared" ca="1" si="26"/>
        <v>48699</v>
      </c>
      <c r="AL88" s="235">
        <v>85</v>
      </c>
      <c r="AM88" s="236"/>
      <c r="AN88" s="86">
        <f t="shared" si="27"/>
        <v>22222.222222222223</v>
      </c>
      <c r="AO88" s="62"/>
      <c r="AP88" s="237">
        <f t="shared" ca="1" si="28"/>
        <v>-8266.6666666666788</v>
      </c>
      <c r="AQ88" s="238"/>
      <c r="AR88" s="239">
        <f t="shared" ca="1" si="29"/>
        <v>13955.555555555544</v>
      </c>
      <c r="AS88" s="240"/>
      <c r="AT88" s="87">
        <f t="shared" ca="1" si="35"/>
        <v>-1066666.6666666681</v>
      </c>
      <c r="AU88" s="75">
        <f t="shared" si="30"/>
        <v>919858.76295512286</v>
      </c>
    </row>
    <row r="89" spans="1:47" ht="14.1" customHeight="1" x14ac:dyDescent="0.25">
      <c r="A89" s="43"/>
      <c r="B89" s="221" t="str">
        <f t="shared" si="15"/>
        <v/>
      </c>
      <c r="C89" s="221"/>
      <c r="D89" s="205" t="str">
        <f t="shared" si="40"/>
        <v/>
      </c>
      <c r="E89" s="222" t="str">
        <f t="shared" si="41"/>
        <v/>
      </c>
      <c r="F89" s="222"/>
      <c r="G89" s="222" t="str">
        <f t="shared" si="42"/>
        <v/>
      </c>
      <c r="H89" s="222"/>
      <c r="I89" s="202"/>
      <c r="J89" s="53"/>
      <c r="K89" s="53"/>
      <c r="L89" s="53"/>
      <c r="M89" s="53"/>
      <c r="N89" s="50"/>
      <c r="O89" s="98"/>
      <c r="AB89" s="178"/>
      <c r="AC89" s="232"/>
      <c r="AD89" s="232"/>
      <c r="AE89" s="179"/>
      <c r="AG89" s="233"/>
      <c r="AH89" s="233"/>
      <c r="AI89" s="234"/>
      <c r="AJ89" s="234"/>
      <c r="AK89" s="130">
        <f t="shared" ca="1" si="26"/>
        <v>48730</v>
      </c>
      <c r="AL89" s="235">
        <v>86</v>
      </c>
      <c r="AM89" s="236"/>
      <c r="AN89" s="86">
        <f t="shared" si="27"/>
        <v>22222.222222222223</v>
      </c>
      <c r="AO89" s="62"/>
      <c r="AP89" s="237">
        <f t="shared" ca="1" si="28"/>
        <v>-8720.185185185197</v>
      </c>
      <c r="AQ89" s="238"/>
      <c r="AR89" s="239">
        <f t="shared" ca="1" si="29"/>
        <v>13502.037037037026</v>
      </c>
      <c r="AS89" s="240"/>
      <c r="AT89" s="87">
        <f t="shared" ca="1" si="35"/>
        <v>-1088888.8888888904</v>
      </c>
      <c r="AU89" s="75">
        <f t="shared" si="30"/>
        <v>0</v>
      </c>
    </row>
    <row r="90" spans="1:47" ht="14.1" customHeight="1" thickBot="1" x14ac:dyDescent="0.3">
      <c r="A90" s="43"/>
      <c r="B90" s="221" t="str">
        <f t="shared" si="15"/>
        <v/>
      </c>
      <c r="C90" s="221"/>
      <c r="D90" s="205" t="str">
        <f t="shared" si="40"/>
        <v/>
      </c>
      <c r="E90" s="222" t="str">
        <f t="shared" si="41"/>
        <v/>
      </c>
      <c r="F90" s="222"/>
      <c r="G90" s="222" t="str">
        <f t="shared" si="42"/>
        <v/>
      </c>
      <c r="H90" s="222"/>
      <c r="I90" s="202"/>
      <c r="J90" s="53"/>
      <c r="K90" s="53"/>
      <c r="L90" s="53"/>
      <c r="M90" s="53"/>
      <c r="N90" s="50"/>
      <c r="O90" s="98"/>
      <c r="AB90" s="180"/>
      <c r="AC90" s="224"/>
      <c r="AD90" s="224"/>
      <c r="AE90" s="181"/>
      <c r="AF90" s="182"/>
      <c r="AG90" s="225"/>
      <c r="AH90" s="225"/>
      <c r="AI90" s="225"/>
      <c r="AJ90" s="225"/>
      <c r="AL90" s="226" t="s">
        <v>282</v>
      </c>
      <c r="AM90" s="227"/>
      <c r="AN90" s="144">
        <f ca="1">SUM(AN4:AN89)</f>
        <v>1911111.1111111129</v>
      </c>
      <c r="AO90" s="145"/>
      <c r="AP90" s="228">
        <f ca="1">SUM(AP4:AQ88)</f>
        <v>-88625.555555556057</v>
      </c>
      <c r="AQ90" s="229"/>
      <c r="AR90" s="230">
        <f ca="1">SUM(AR4:AS89)</f>
        <v>1791543.1481481481</v>
      </c>
      <c r="AS90" s="231"/>
      <c r="AT90" s="145"/>
      <c r="AU90" s="75">
        <f t="shared" si="30"/>
        <v>0</v>
      </c>
    </row>
    <row r="91" spans="1:47" ht="14.1" customHeight="1" x14ac:dyDescent="0.25">
      <c r="A91" s="43"/>
      <c r="B91" s="221" t="str">
        <f t="shared" si="15"/>
        <v/>
      </c>
      <c r="C91" s="221"/>
      <c r="D91" s="205" t="str">
        <f t="shared" si="40"/>
        <v/>
      </c>
      <c r="E91" s="222" t="str">
        <f t="shared" si="41"/>
        <v/>
      </c>
      <c r="F91" s="222"/>
      <c r="G91" s="222" t="str">
        <f t="shared" si="42"/>
        <v/>
      </c>
      <c r="H91" s="222"/>
      <c r="I91" s="202"/>
      <c r="J91" s="58"/>
      <c r="K91" s="53"/>
      <c r="L91" s="53"/>
      <c r="M91" s="53"/>
      <c r="N91" s="50"/>
      <c r="O91" s="98"/>
      <c r="AO91" s="62"/>
    </row>
    <row r="92" spans="1:47" ht="14.1" customHeight="1" x14ac:dyDescent="0.25">
      <c r="A92" s="43"/>
      <c r="B92" s="221" t="str">
        <f t="shared" si="15"/>
        <v/>
      </c>
      <c r="C92" s="221"/>
      <c r="D92" s="205" t="str">
        <f t="shared" si="40"/>
        <v/>
      </c>
      <c r="E92" s="222" t="str">
        <f t="shared" si="41"/>
        <v/>
      </c>
      <c r="F92" s="222"/>
      <c r="G92" s="222" t="str">
        <f t="shared" si="42"/>
        <v/>
      </c>
      <c r="H92" s="222"/>
      <c r="I92" s="202"/>
      <c r="J92" s="58"/>
      <c r="K92" s="53"/>
      <c r="L92" s="53"/>
      <c r="M92" s="53"/>
      <c r="N92" s="50"/>
      <c r="O92" s="98"/>
      <c r="AO92" s="62"/>
    </row>
    <row r="93" spans="1:47" ht="14.1" customHeight="1" x14ac:dyDescent="0.25">
      <c r="A93" s="43"/>
      <c r="B93" s="221" t="str">
        <f t="shared" si="15"/>
        <v/>
      </c>
      <c r="C93" s="221"/>
      <c r="D93" s="205" t="str">
        <f t="shared" si="40"/>
        <v/>
      </c>
      <c r="E93" s="222" t="str">
        <f t="shared" si="41"/>
        <v/>
      </c>
      <c r="F93" s="222"/>
      <c r="G93" s="222" t="str">
        <f t="shared" si="42"/>
        <v/>
      </c>
      <c r="H93" s="222"/>
      <c r="I93" s="202"/>
      <c r="J93" s="58"/>
      <c r="K93" s="53"/>
      <c r="L93" s="53"/>
      <c r="M93" s="53"/>
      <c r="N93" s="50"/>
      <c r="O93" s="98"/>
      <c r="AO93" s="62"/>
    </row>
    <row r="94" spans="1:47" ht="14.1" customHeight="1" x14ac:dyDescent="0.25">
      <c r="A94" s="43"/>
      <c r="B94" s="221" t="str">
        <f t="shared" si="15"/>
        <v/>
      </c>
      <c r="C94" s="221"/>
      <c r="D94" s="205" t="str">
        <f t="shared" si="40"/>
        <v/>
      </c>
      <c r="E94" s="222" t="str">
        <f t="shared" si="41"/>
        <v/>
      </c>
      <c r="F94" s="222"/>
      <c r="G94" s="222" t="str">
        <f t="shared" si="42"/>
        <v/>
      </c>
      <c r="H94" s="222"/>
      <c r="I94" s="202"/>
      <c r="J94" s="58"/>
      <c r="K94" s="53"/>
      <c r="L94" s="53"/>
      <c r="M94" s="53"/>
      <c r="N94" s="50"/>
      <c r="O94" s="98"/>
      <c r="AO94" s="62"/>
    </row>
    <row r="95" spans="1:47" ht="14.1" customHeight="1" x14ac:dyDescent="0.25">
      <c r="A95" s="43"/>
      <c r="B95" s="221" t="str">
        <f t="shared" si="15"/>
        <v/>
      </c>
      <c r="C95" s="221"/>
      <c r="D95" s="205" t="str">
        <f t="shared" si="40"/>
        <v/>
      </c>
      <c r="E95" s="222" t="str">
        <f t="shared" si="41"/>
        <v/>
      </c>
      <c r="F95" s="222"/>
      <c r="G95" s="222" t="str">
        <f t="shared" si="42"/>
        <v/>
      </c>
      <c r="H95" s="222"/>
      <c r="I95" s="202"/>
      <c r="J95" s="58"/>
      <c r="K95" s="53"/>
      <c r="L95" s="53"/>
      <c r="M95" s="53"/>
      <c r="N95" s="50"/>
      <c r="O95" s="98"/>
      <c r="AO95" s="62"/>
    </row>
    <row r="96" spans="1:47" ht="14.1" customHeight="1" x14ac:dyDescent="0.25">
      <c r="A96" s="43"/>
      <c r="B96" s="221" t="str">
        <f>IF(E12=72,"Всього:",IF(B95&lt;$E$12,B95+1,""))</f>
        <v/>
      </c>
      <c r="C96" s="221"/>
      <c r="D96" s="205" t="str">
        <f>IF(E12=72,SUM(D24:D95),IF(B95&lt;$E$12,AE76,""))</f>
        <v/>
      </c>
      <c r="E96" s="222" t="str">
        <f>IF(E12=72,SUM(E24:F95),IF(B95&lt;$E$12,AG76,""))</f>
        <v/>
      </c>
      <c r="F96" s="222"/>
      <c r="G96" s="222" t="str">
        <f>IF(E12=72,SUM(G24:H95),IF(B95&lt;$E$12,AI76,""))</f>
        <v/>
      </c>
      <c r="H96" s="222"/>
      <c r="I96" s="202"/>
      <c r="J96" s="58"/>
      <c r="K96" s="53"/>
      <c r="L96" s="53"/>
      <c r="M96" s="53"/>
      <c r="N96" s="50"/>
      <c r="O96" s="98"/>
      <c r="AO96" s="62"/>
    </row>
    <row r="97" spans="1:41" ht="14.1" customHeight="1" x14ac:dyDescent="0.25">
      <c r="A97" s="43"/>
      <c r="B97" s="221" t="str">
        <f t="shared" si="15"/>
        <v/>
      </c>
      <c r="C97" s="221"/>
      <c r="D97" s="205" t="str">
        <f t="shared" ref="D97:D107" si="43">IF(B96&lt;$E$12,AE77,"")</f>
        <v/>
      </c>
      <c r="E97" s="222" t="str">
        <f t="shared" ref="E97:E107" si="44">IF(B96&lt;$E$12,AG77,"")</f>
        <v/>
      </c>
      <c r="F97" s="222"/>
      <c r="G97" s="222" t="str">
        <f t="shared" ref="G97:G107" si="45">IF(B96&lt;$E$12,AI77,"")</f>
        <v/>
      </c>
      <c r="H97" s="222"/>
      <c r="I97" s="202"/>
      <c r="J97" s="52"/>
      <c r="K97" s="50"/>
      <c r="L97" s="50"/>
      <c r="M97" s="50"/>
      <c r="N97" s="50"/>
      <c r="O97" s="98"/>
      <c r="AO97" s="62"/>
    </row>
    <row r="98" spans="1:41" ht="14.1" customHeight="1" x14ac:dyDescent="0.25">
      <c r="A98" s="43"/>
      <c r="B98" s="221" t="str">
        <f t="shared" si="15"/>
        <v/>
      </c>
      <c r="C98" s="221"/>
      <c r="D98" s="205" t="str">
        <f t="shared" si="43"/>
        <v/>
      </c>
      <c r="E98" s="222" t="str">
        <f t="shared" si="44"/>
        <v/>
      </c>
      <c r="F98" s="222"/>
      <c r="G98" s="222" t="str">
        <f t="shared" si="45"/>
        <v/>
      </c>
      <c r="H98" s="222"/>
      <c r="I98" s="202"/>
      <c r="J98" s="52"/>
      <c r="K98" s="50"/>
      <c r="L98" s="50"/>
      <c r="M98" s="50"/>
      <c r="N98" s="50"/>
      <c r="O98" s="98"/>
      <c r="AO98" s="62"/>
    </row>
    <row r="99" spans="1:41" ht="14.1" customHeight="1" x14ac:dyDescent="0.25">
      <c r="A99" s="43"/>
      <c r="B99" s="221" t="str">
        <f t="shared" si="15"/>
        <v/>
      </c>
      <c r="C99" s="221"/>
      <c r="D99" s="205" t="str">
        <f t="shared" si="43"/>
        <v/>
      </c>
      <c r="E99" s="222" t="str">
        <f t="shared" si="44"/>
        <v/>
      </c>
      <c r="F99" s="222"/>
      <c r="G99" s="222" t="str">
        <f t="shared" si="45"/>
        <v/>
      </c>
      <c r="H99" s="222"/>
      <c r="I99" s="202"/>
      <c r="J99" s="52"/>
      <c r="K99" s="50"/>
      <c r="L99" s="50"/>
      <c r="M99" s="50"/>
      <c r="N99" s="50"/>
      <c r="AO99" s="62"/>
    </row>
    <row r="100" spans="1:41" ht="14.1" customHeight="1" x14ac:dyDescent="0.25">
      <c r="A100" s="43"/>
      <c r="B100" s="221" t="str">
        <f t="shared" si="15"/>
        <v/>
      </c>
      <c r="C100" s="221"/>
      <c r="D100" s="205" t="str">
        <f t="shared" si="43"/>
        <v/>
      </c>
      <c r="E100" s="222" t="str">
        <f t="shared" si="44"/>
        <v/>
      </c>
      <c r="F100" s="222"/>
      <c r="G100" s="222" t="str">
        <f t="shared" si="45"/>
        <v/>
      </c>
      <c r="H100" s="222"/>
      <c r="I100" s="202"/>
      <c r="J100" s="52"/>
      <c r="K100" s="50"/>
      <c r="L100" s="50"/>
      <c r="M100" s="50"/>
      <c r="N100" s="50"/>
      <c r="AO100" s="62"/>
    </row>
    <row r="101" spans="1:41" ht="14.1" customHeight="1" x14ac:dyDescent="0.25">
      <c r="A101" s="43"/>
      <c r="B101" s="221" t="str">
        <f t="shared" ref="B101:B107" si="46">IF(B100&lt;$E$12,B100+1,"")</f>
        <v/>
      </c>
      <c r="C101" s="221"/>
      <c r="D101" s="205" t="str">
        <f t="shared" si="43"/>
        <v/>
      </c>
      <c r="E101" s="222" t="str">
        <f t="shared" si="44"/>
        <v/>
      </c>
      <c r="F101" s="222"/>
      <c r="G101" s="222" t="str">
        <f t="shared" si="45"/>
        <v/>
      </c>
      <c r="H101" s="222"/>
      <c r="I101" s="202"/>
      <c r="J101" s="52"/>
      <c r="K101" s="50"/>
      <c r="L101" s="50"/>
      <c r="M101" s="50"/>
      <c r="N101" s="50"/>
      <c r="AO101" s="62"/>
    </row>
    <row r="102" spans="1:41" ht="14.1" customHeight="1" x14ac:dyDescent="0.25">
      <c r="A102" s="43"/>
      <c r="B102" s="221" t="str">
        <f t="shared" si="46"/>
        <v/>
      </c>
      <c r="C102" s="221"/>
      <c r="D102" s="205" t="str">
        <f t="shared" si="43"/>
        <v/>
      </c>
      <c r="E102" s="222" t="str">
        <f t="shared" si="44"/>
        <v/>
      </c>
      <c r="F102" s="222"/>
      <c r="G102" s="222" t="str">
        <f t="shared" si="45"/>
        <v/>
      </c>
      <c r="H102" s="222"/>
      <c r="I102" s="202"/>
      <c r="J102" s="52"/>
      <c r="K102" s="50"/>
      <c r="L102" s="50"/>
      <c r="M102" s="50"/>
      <c r="N102" s="50"/>
      <c r="AO102" s="62"/>
    </row>
    <row r="103" spans="1:41" ht="14.1" customHeight="1" x14ac:dyDescent="0.25">
      <c r="A103" s="43"/>
      <c r="B103" s="221" t="str">
        <f t="shared" si="46"/>
        <v/>
      </c>
      <c r="C103" s="221"/>
      <c r="D103" s="205" t="str">
        <f t="shared" si="43"/>
        <v/>
      </c>
      <c r="E103" s="222" t="str">
        <f t="shared" si="44"/>
        <v/>
      </c>
      <c r="F103" s="222"/>
      <c r="G103" s="222" t="str">
        <f t="shared" si="45"/>
        <v/>
      </c>
      <c r="H103" s="222"/>
      <c r="I103" s="202"/>
      <c r="J103" s="52"/>
      <c r="K103" s="50"/>
      <c r="L103" s="50"/>
      <c r="M103" s="50"/>
      <c r="N103" s="50"/>
      <c r="AO103" s="62"/>
    </row>
    <row r="104" spans="1:41" ht="14.1" customHeight="1" x14ac:dyDescent="0.25">
      <c r="A104" s="43"/>
      <c r="B104" s="221" t="str">
        <f t="shared" si="46"/>
        <v/>
      </c>
      <c r="C104" s="221"/>
      <c r="D104" s="205" t="str">
        <f t="shared" si="43"/>
        <v/>
      </c>
      <c r="E104" s="222" t="str">
        <f t="shared" si="44"/>
        <v/>
      </c>
      <c r="F104" s="222"/>
      <c r="G104" s="222" t="str">
        <f t="shared" si="45"/>
        <v/>
      </c>
      <c r="H104" s="222"/>
      <c r="I104" s="202"/>
      <c r="J104" s="52"/>
      <c r="K104" s="50"/>
      <c r="L104" s="50"/>
      <c r="M104" s="50"/>
      <c r="N104" s="50"/>
      <c r="AO104" s="62"/>
    </row>
    <row r="105" spans="1:41" ht="14.1" customHeight="1" x14ac:dyDescent="0.25">
      <c r="A105" s="43"/>
      <c r="B105" s="221" t="str">
        <f t="shared" si="46"/>
        <v/>
      </c>
      <c r="C105" s="221"/>
      <c r="D105" s="205" t="str">
        <f t="shared" si="43"/>
        <v/>
      </c>
      <c r="E105" s="222" t="str">
        <f t="shared" si="44"/>
        <v/>
      </c>
      <c r="F105" s="222"/>
      <c r="G105" s="222" t="str">
        <f t="shared" si="45"/>
        <v/>
      </c>
      <c r="H105" s="222"/>
      <c r="I105" s="202"/>
      <c r="J105" s="52"/>
      <c r="K105" s="50"/>
      <c r="L105" s="50"/>
      <c r="M105" s="50"/>
      <c r="N105" s="50"/>
      <c r="AO105" s="62"/>
    </row>
    <row r="106" spans="1:41" ht="14.1" customHeight="1" x14ac:dyDescent="0.25">
      <c r="A106" s="43"/>
      <c r="B106" s="221" t="str">
        <f t="shared" si="46"/>
        <v/>
      </c>
      <c r="C106" s="221"/>
      <c r="D106" s="205" t="str">
        <f t="shared" si="43"/>
        <v/>
      </c>
      <c r="E106" s="222" t="str">
        <f t="shared" si="44"/>
        <v/>
      </c>
      <c r="F106" s="222"/>
      <c r="G106" s="222" t="str">
        <f t="shared" si="45"/>
        <v/>
      </c>
      <c r="H106" s="222"/>
      <c r="I106" s="202"/>
      <c r="J106" s="52"/>
      <c r="K106" s="50"/>
      <c r="L106" s="50"/>
      <c r="M106" s="50"/>
      <c r="N106" s="50"/>
      <c r="AO106" s="62"/>
    </row>
    <row r="107" spans="1:41" x14ac:dyDescent="0.25">
      <c r="A107" s="43"/>
      <c r="B107" s="221" t="str">
        <f t="shared" si="46"/>
        <v/>
      </c>
      <c r="C107" s="221"/>
      <c r="D107" s="205" t="str">
        <f t="shared" si="43"/>
        <v/>
      </c>
      <c r="E107" s="222" t="str">
        <f t="shared" si="44"/>
        <v/>
      </c>
      <c r="F107" s="222"/>
      <c r="G107" s="222" t="str">
        <f t="shared" si="45"/>
        <v/>
      </c>
      <c r="H107" s="222"/>
      <c r="I107" s="201"/>
      <c r="J107" s="52"/>
      <c r="K107" s="50"/>
      <c r="L107" s="50"/>
      <c r="M107" s="50"/>
      <c r="N107" s="50"/>
      <c r="AO107" s="62"/>
    </row>
    <row r="108" spans="1:41" x14ac:dyDescent="0.25">
      <c r="A108" s="43"/>
      <c r="B108" s="206" t="str">
        <f>IF(E12=84,"Всього:","")</f>
        <v/>
      </c>
      <c r="C108" s="206"/>
      <c r="D108" s="205" t="str">
        <f>IF(E12=84,SUM(D24:D107),"")</f>
        <v/>
      </c>
      <c r="E108" s="222" t="str">
        <f>IF(E12=84,SUM(E24:F107),"")</f>
        <v/>
      </c>
      <c r="F108" s="222"/>
      <c r="G108" s="222" t="str">
        <f>IF(E12=84,SUM(G24:H107),"")</f>
        <v/>
      </c>
      <c r="H108" s="222"/>
      <c r="I108" s="113"/>
      <c r="J108" s="52"/>
      <c r="K108" s="50"/>
      <c r="L108" s="50"/>
      <c r="M108" s="50"/>
      <c r="N108" s="50"/>
      <c r="AO108" s="62"/>
    </row>
    <row r="109" spans="1:41" x14ac:dyDescent="0.25">
      <c r="A109" s="43"/>
      <c r="B109" s="118"/>
      <c r="C109" s="200"/>
      <c r="D109" s="61"/>
      <c r="E109" s="61"/>
      <c r="F109" s="61"/>
      <c r="G109" s="61"/>
      <c r="H109" s="223"/>
      <c r="I109" s="223"/>
      <c r="J109" s="52"/>
      <c r="K109" s="50"/>
      <c r="L109" s="50"/>
      <c r="M109" s="50"/>
      <c r="N109" s="50"/>
      <c r="AO109" s="62"/>
    </row>
    <row r="110" spans="1:41" x14ac:dyDescent="0.25">
      <c r="A110" s="43"/>
      <c r="B110" s="118"/>
      <c r="C110" s="200"/>
      <c r="D110" s="61"/>
      <c r="E110" s="61"/>
      <c r="F110" s="61"/>
      <c r="G110" s="61"/>
      <c r="H110" s="223"/>
      <c r="I110" s="223"/>
      <c r="J110" s="52"/>
      <c r="K110" s="50"/>
      <c r="L110" s="50"/>
      <c r="M110" s="50"/>
      <c r="N110" s="50"/>
      <c r="AO110" s="62"/>
    </row>
    <row r="111" spans="1:41" x14ac:dyDescent="0.25">
      <c r="AO111" s="62"/>
    </row>
    <row r="112" spans="1:41" x14ac:dyDescent="0.25">
      <c r="AO112" s="62"/>
    </row>
    <row r="113" spans="41:41" x14ac:dyDescent="0.25">
      <c r="AO113" s="62"/>
    </row>
    <row r="114" spans="41:41" x14ac:dyDescent="0.25">
      <c r="AO114" s="62"/>
    </row>
    <row r="115" spans="41:41" x14ac:dyDescent="0.25">
      <c r="AO115" s="62"/>
    </row>
    <row r="116" spans="41:41" x14ac:dyDescent="0.25">
      <c r="AO116" s="62"/>
    </row>
    <row r="117" spans="41:41" x14ac:dyDescent="0.25">
      <c r="AO117" s="62"/>
    </row>
    <row r="118" spans="41:41" x14ac:dyDescent="0.25">
      <c r="AO118" s="62"/>
    </row>
    <row r="119" spans="41:41" x14ac:dyDescent="0.25">
      <c r="AO119" s="62"/>
    </row>
    <row r="120" spans="41:41" x14ac:dyDescent="0.25">
      <c r="AO120" s="62"/>
    </row>
    <row r="121" spans="41:41" x14ac:dyDescent="0.25">
      <c r="AO121" s="62"/>
    </row>
    <row r="122" spans="41:41" x14ac:dyDescent="0.25">
      <c r="AO122" s="62"/>
    </row>
    <row r="123" spans="41:41" x14ac:dyDescent="0.25">
      <c r="AO123" s="62"/>
    </row>
    <row r="124" spans="41:41" x14ac:dyDescent="0.25">
      <c r="AO124" s="62"/>
    </row>
    <row r="125" spans="41:41" x14ac:dyDescent="0.25">
      <c r="AO125" s="62"/>
    </row>
    <row r="126" spans="41:41" x14ac:dyDescent="0.25">
      <c r="AO126" s="62"/>
    </row>
    <row r="127" spans="41:41" x14ac:dyDescent="0.25">
      <c r="AO127" s="62"/>
    </row>
    <row r="128" spans="41:41" x14ac:dyDescent="0.25">
      <c r="AO128" s="62"/>
    </row>
    <row r="129" spans="41:41" x14ac:dyDescent="0.25">
      <c r="AO129" s="62"/>
    </row>
    <row r="130" spans="41:41" x14ac:dyDescent="0.25">
      <c r="AO130" s="62"/>
    </row>
    <row r="131" spans="41:41" x14ac:dyDescent="0.25">
      <c r="AO131" s="62"/>
    </row>
    <row r="132" spans="41:41" x14ac:dyDescent="0.25">
      <c r="AO132" s="62"/>
    </row>
    <row r="133" spans="41:41" x14ac:dyDescent="0.25">
      <c r="AO133" s="62"/>
    </row>
    <row r="134" spans="41:41" x14ac:dyDescent="0.25">
      <c r="AO134" s="62"/>
    </row>
    <row r="135" spans="41:41" x14ac:dyDescent="0.25">
      <c r="AO135" s="62"/>
    </row>
    <row r="136" spans="41:41" x14ac:dyDescent="0.25">
      <c r="AO136" s="62"/>
    </row>
    <row r="137" spans="41:41" x14ac:dyDescent="0.25">
      <c r="AO137" s="62"/>
    </row>
    <row r="138" spans="41:41" x14ac:dyDescent="0.25">
      <c r="AO138" s="62"/>
    </row>
    <row r="139" spans="41:41" x14ac:dyDescent="0.25">
      <c r="AO139" s="62"/>
    </row>
    <row r="140" spans="41:41" x14ac:dyDescent="0.25">
      <c r="AO140" s="62"/>
    </row>
    <row r="141" spans="41:41" x14ac:dyDescent="0.25">
      <c r="AO141" s="62"/>
    </row>
    <row r="142" spans="41:41" x14ac:dyDescent="0.25">
      <c r="AO142" s="62"/>
    </row>
    <row r="143" spans="41:41" x14ac:dyDescent="0.25">
      <c r="AO143" s="62"/>
    </row>
    <row r="144" spans="41:41" x14ac:dyDescent="0.25">
      <c r="AO144" s="62"/>
    </row>
    <row r="145" spans="41:41" x14ac:dyDescent="0.25">
      <c r="AO145" s="62"/>
    </row>
    <row r="146" spans="41:41" x14ac:dyDescent="0.25">
      <c r="AO146" s="62"/>
    </row>
    <row r="147" spans="41:41" x14ac:dyDescent="0.25">
      <c r="AO147" s="62"/>
    </row>
    <row r="148" spans="41:41" x14ac:dyDescent="0.25">
      <c r="AO148" s="62"/>
    </row>
    <row r="149" spans="41:41" x14ac:dyDescent="0.25">
      <c r="AO149" s="62"/>
    </row>
    <row r="150" spans="41:41" x14ac:dyDescent="0.25">
      <c r="AO150" s="62"/>
    </row>
    <row r="151" spans="41:41" x14ac:dyDescent="0.25">
      <c r="AO151" s="62"/>
    </row>
    <row r="152" spans="41:41" x14ac:dyDescent="0.25">
      <c r="AO152" s="62"/>
    </row>
    <row r="153" spans="41:41" x14ac:dyDescent="0.25">
      <c r="AO153" s="62"/>
    </row>
    <row r="154" spans="41:41" x14ac:dyDescent="0.25">
      <c r="AO154" s="62"/>
    </row>
    <row r="155" spans="41:41" x14ac:dyDescent="0.25">
      <c r="AO155" s="62"/>
    </row>
    <row r="156" spans="41:41" x14ac:dyDescent="0.25">
      <c r="AO156" s="62"/>
    </row>
    <row r="157" spans="41:41" x14ac:dyDescent="0.25">
      <c r="AO157" s="62"/>
    </row>
    <row r="158" spans="41:41" x14ac:dyDescent="0.25">
      <c r="AO158" s="62"/>
    </row>
    <row r="159" spans="41:41" x14ac:dyDescent="0.25">
      <c r="AO159" s="62"/>
    </row>
    <row r="160" spans="41:41" x14ac:dyDescent="0.25">
      <c r="AO160" s="62"/>
    </row>
    <row r="161" spans="41:41" x14ac:dyDescent="0.25">
      <c r="AO161" s="62"/>
    </row>
    <row r="162" spans="41:41" x14ac:dyDescent="0.25">
      <c r="AO162" s="62"/>
    </row>
    <row r="163" spans="41:41" x14ac:dyDescent="0.25">
      <c r="AO163" s="62"/>
    </row>
    <row r="164" spans="41:41" x14ac:dyDescent="0.25">
      <c r="AO164" s="62"/>
    </row>
    <row r="165" spans="41:41" x14ac:dyDescent="0.25">
      <c r="AO165" s="62"/>
    </row>
    <row r="166" spans="41:41" x14ac:dyDescent="0.25">
      <c r="AO166" s="62"/>
    </row>
    <row r="167" spans="41:41" x14ac:dyDescent="0.25">
      <c r="AO167" s="62"/>
    </row>
    <row r="168" spans="41:41" x14ac:dyDescent="0.25">
      <c r="AO168" s="62"/>
    </row>
    <row r="169" spans="41:41" x14ac:dyDescent="0.25">
      <c r="AO169" s="62"/>
    </row>
    <row r="170" spans="41:41" x14ac:dyDescent="0.25">
      <c r="AO170" s="62"/>
    </row>
    <row r="171" spans="41:41" x14ac:dyDescent="0.25">
      <c r="AO171" s="62"/>
    </row>
    <row r="172" spans="41:41" x14ac:dyDescent="0.25">
      <c r="AO172" s="62"/>
    </row>
    <row r="173" spans="41:41" x14ac:dyDescent="0.25">
      <c r="AO173" s="62"/>
    </row>
    <row r="174" spans="41:41" x14ac:dyDescent="0.25">
      <c r="AO174" s="62"/>
    </row>
    <row r="175" spans="41:41" x14ac:dyDescent="0.25">
      <c r="AO175" s="62"/>
    </row>
    <row r="176" spans="41:41" x14ac:dyDescent="0.25">
      <c r="AO176" s="62"/>
    </row>
    <row r="177" spans="41:41" x14ac:dyDescent="0.25">
      <c r="AO177" s="62"/>
    </row>
    <row r="178" spans="41:41" x14ac:dyDescent="0.25">
      <c r="AO178" s="62"/>
    </row>
    <row r="179" spans="41:41" x14ac:dyDescent="0.25">
      <c r="AO179" s="62"/>
    </row>
    <row r="180" spans="41:41" x14ac:dyDescent="0.25">
      <c r="AO180" s="62"/>
    </row>
    <row r="181" spans="41:41" x14ac:dyDescent="0.25">
      <c r="AO181" s="62"/>
    </row>
    <row r="182" spans="41:41" x14ac:dyDescent="0.25">
      <c r="AO182" s="62"/>
    </row>
    <row r="183" spans="41:41" x14ac:dyDescent="0.25">
      <c r="AO183" s="62"/>
    </row>
    <row r="184" spans="41:41" x14ac:dyDescent="0.25">
      <c r="AO184" s="62"/>
    </row>
    <row r="185" spans="41:41" x14ac:dyDescent="0.25">
      <c r="AO185" s="62"/>
    </row>
    <row r="186" spans="41:41" x14ac:dyDescent="0.25">
      <c r="AO186" s="62"/>
    </row>
    <row r="187" spans="41:41" x14ac:dyDescent="0.25">
      <c r="AO187" s="62"/>
    </row>
    <row r="188" spans="41:41" x14ac:dyDescent="0.25">
      <c r="AO188" s="62"/>
    </row>
    <row r="189" spans="41:41" x14ac:dyDescent="0.25">
      <c r="AO189" s="62"/>
    </row>
    <row r="190" spans="41:41" x14ac:dyDescent="0.25">
      <c r="AO190" s="62"/>
    </row>
    <row r="191" spans="41:41" x14ac:dyDescent="0.25">
      <c r="AO191" s="62"/>
    </row>
    <row r="192" spans="41:41" x14ac:dyDescent="0.25">
      <c r="AO192" s="62"/>
    </row>
    <row r="193" spans="41:41" x14ac:dyDescent="0.25">
      <c r="AO193" s="62"/>
    </row>
    <row r="194" spans="41:41" x14ac:dyDescent="0.25">
      <c r="AO194" s="62"/>
    </row>
    <row r="195" spans="41:41" x14ac:dyDescent="0.25">
      <c r="AO195" s="62"/>
    </row>
    <row r="196" spans="41:41" x14ac:dyDescent="0.25">
      <c r="AO196" s="62"/>
    </row>
    <row r="197" spans="41:41" x14ac:dyDescent="0.25">
      <c r="AO197" s="62"/>
    </row>
    <row r="198" spans="41:41" x14ac:dyDescent="0.25">
      <c r="AO198" s="62"/>
    </row>
    <row r="199" spans="41:41" x14ac:dyDescent="0.25">
      <c r="AO199" s="62"/>
    </row>
    <row r="200" spans="41:41" x14ac:dyDescent="0.25">
      <c r="AO200" s="62"/>
    </row>
    <row r="201" spans="41:41" x14ac:dyDescent="0.25">
      <c r="AO201" s="62"/>
    </row>
    <row r="202" spans="41:41" x14ac:dyDescent="0.25">
      <c r="AO202" s="62"/>
    </row>
    <row r="203" spans="41:41" x14ac:dyDescent="0.25">
      <c r="AO203" s="62"/>
    </row>
    <row r="204" spans="41:41" x14ac:dyDescent="0.25">
      <c r="AO204" s="62"/>
    </row>
    <row r="205" spans="41:41" x14ac:dyDescent="0.25">
      <c r="AO205" s="62"/>
    </row>
    <row r="206" spans="41:41" x14ac:dyDescent="0.25">
      <c r="AO206" s="62"/>
    </row>
    <row r="207" spans="41:41" x14ac:dyDescent="0.25">
      <c r="AO207" s="62"/>
    </row>
    <row r="208" spans="41:41" x14ac:dyDescent="0.25">
      <c r="AO208" s="62"/>
    </row>
    <row r="209" spans="41:41" x14ac:dyDescent="0.25">
      <c r="AO209" s="62"/>
    </row>
    <row r="210" spans="41:41" x14ac:dyDescent="0.25">
      <c r="AO210" s="62"/>
    </row>
    <row r="211" spans="41:41" x14ac:dyDescent="0.25">
      <c r="AO211" s="62"/>
    </row>
    <row r="212" spans="41:41" x14ac:dyDescent="0.25">
      <c r="AO212" s="62"/>
    </row>
    <row r="213" spans="41:41" x14ac:dyDescent="0.25">
      <c r="AO213" s="62"/>
    </row>
    <row r="214" spans="41:41" x14ac:dyDescent="0.25">
      <c r="AO214" s="62"/>
    </row>
    <row r="215" spans="41:41" x14ac:dyDescent="0.25">
      <c r="AO215" s="62"/>
    </row>
    <row r="216" spans="41:41" x14ac:dyDescent="0.25">
      <c r="AO216" s="62"/>
    </row>
    <row r="217" spans="41:41" x14ac:dyDescent="0.25">
      <c r="AO217" s="62"/>
    </row>
    <row r="218" spans="41:41" x14ac:dyDescent="0.25">
      <c r="AO218" s="62"/>
    </row>
    <row r="219" spans="41:41" x14ac:dyDescent="0.25">
      <c r="AO219" s="62"/>
    </row>
    <row r="220" spans="41:41" x14ac:dyDescent="0.25">
      <c r="AO220" s="62"/>
    </row>
    <row r="221" spans="41:41" x14ac:dyDescent="0.25">
      <c r="AO221" s="62"/>
    </row>
    <row r="222" spans="41:41" x14ac:dyDescent="0.25">
      <c r="AO222" s="62"/>
    </row>
    <row r="223" spans="41:41" x14ac:dyDescent="0.25">
      <c r="AO223" s="62"/>
    </row>
    <row r="224" spans="41:41" x14ac:dyDescent="0.25">
      <c r="AO224" s="62"/>
    </row>
    <row r="225" spans="41:41" x14ac:dyDescent="0.25">
      <c r="AO225" s="62"/>
    </row>
    <row r="226" spans="41:41" x14ac:dyDescent="0.25">
      <c r="AO226" s="62"/>
    </row>
    <row r="227" spans="41:41" x14ac:dyDescent="0.25">
      <c r="AO227" s="62"/>
    </row>
    <row r="228" spans="41:41" x14ac:dyDescent="0.25">
      <c r="AO228" s="62"/>
    </row>
    <row r="229" spans="41:41" x14ac:dyDescent="0.25">
      <c r="AO229" s="62"/>
    </row>
    <row r="230" spans="41:41" x14ac:dyDescent="0.25">
      <c r="AO230" s="62"/>
    </row>
    <row r="231" spans="41:41" x14ac:dyDescent="0.25">
      <c r="AO231" s="62"/>
    </row>
    <row r="232" spans="41:41" x14ac:dyDescent="0.25">
      <c r="AO232" s="62"/>
    </row>
    <row r="233" spans="41:41" x14ac:dyDescent="0.25">
      <c r="AO233" s="62"/>
    </row>
    <row r="234" spans="41:41" x14ac:dyDescent="0.25">
      <c r="AO234" s="62"/>
    </row>
    <row r="235" spans="41:41" x14ac:dyDescent="0.25">
      <c r="AO235" s="62"/>
    </row>
    <row r="236" spans="41:41" x14ac:dyDescent="0.25">
      <c r="AO236" s="62"/>
    </row>
    <row r="237" spans="41:41" x14ac:dyDescent="0.25">
      <c r="AO237" s="62"/>
    </row>
    <row r="238" spans="41:41" x14ac:dyDescent="0.25">
      <c r="AO238" s="62"/>
    </row>
    <row r="239" spans="41:41" x14ac:dyDescent="0.25">
      <c r="AO239" s="62"/>
    </row>
    <row r="240" spans="41:41" x14ac:dyDescent="0.25">
      <c r="AO240" s="62"/>
    </row>
    <row r="241" spans="41:41" x14ac:dyDescent="0.25">
      <c r="AO241" s="62"/>
    </row>
    <row r="242" spans="41:41" x14ac:dyDescent="0.25">
      <c r="AO242" s="62"/>
    </row>
    <row r="243" spans="41:41" x14ac:dyDescent="0.25">
      <c r="AO243" s="62"/>
    </row>
    <row r="244" spans="41:41" x14ac:dyDescent="0.25">
      <c r="AO244" s="62"/>
    </row>
    <row r="245" spans="41:41" x14ac:dyDescent="0.25">
      <c r="AO245" s="62"/>
    </row>
    <row r="246" spans="41:41" x14ac:dyDescent="0.25">
      <c r="AO246" s="62"/>
    </row>
    <row r="247" spans="41:41" x14ac:dyDescent="0.25">
      <c r="AO247" s="62"/>
    </row>
    <row r="248" spans="41:41" x14ac:dyDescent="0.25">
      <c r="AO248" s="62"/>
    </row>
    <row r="249" spans="41:41" x14ac:dyDescent="0.25">
      <c r="AO249" s="62"/>
    </row>
    <row r="250" spans="41:41" x14ac:dyDescent="0.25">
      <c r="AO250" s="62"/>
    </row>
    <row r="251" spans="41:41" x14ac:dyDescent="0.25">
      <c r="AO251" s="62"/>
    </row>
    <row r="252" spans="41:41" x14ac:dyDescent="0.25">
      <c r="AO252" s="62"/>
    </row>
    <row r="253" spans="41:41" x14ac:dyDescent="0.25">
      <c r="AO253" s="62"/>
    </row>
    <row r="254" spans="41:41" x14ac:dyDescent="0.25">
      <c r="AO254" s="62"/>
    </row>
    <row r="255" spans="41:41" x14ac:dyDescent="0.25">
      <c r="AO255" s="62"/>
    </row>
    <row r="256" spans="41:41" x14ac:dyDescent="0.25">
      <c r="AO256" s="62"/>
    </row>
    <row r="257" spans="41:41" x14ac:dyDescent="0.25">
      <c r="AO257" s="62"/>
    </row>
    <row r="258" spans="41:41" x14ac:dyDescent="0.25">
      <c r="AO258" s="62"/>
    </row>
    <row r="259" spans="41:41" x14ac:dyDescent="0.25">
      <c r="AO259" s="62"/>
    </row>
    <row r="260" spans="41:41" x14ac:dyDescent="0.25">
      <c r="AO260" s="62"/>
    </row>
    <row r="261" spans="41:41" x14ac:dyDescent="0.25">
      <c r="AO261" s="62"/>
    </row>
    <row r="262" spans="41:41" x14ac:dyDescent="0.25">
      <c r="AO262" s="62"/>
    </row>
    <row r="263" spans="41:41" x14ac:dyDescent="0.25">
      <c r="AO263" s="62"/>
    </row>
    <row r="264" spans="41:41" x14ac:dyDescent="0.25">
      <c r="AO264" s="62"/>
    </row>
    <row r="265" spans="41:41" x14ac:dyDescent="0.25">
      <c r="AO265" s="62"/>
    </row>
    <row r="266" spans="41:41" x14ac:dyDescent="0.25">
      <c r="AO266" s="62"/>
    </row>
    <row r="267" spans="41:41" x14ac:dyDescent="0.25">
      <c r="AO267" s="62"/>
    </row>
    <row r="268" spans="41:41" x14ac:dyDescent="0.25">
      <c r="AO268" s="62"/>
    </row>
    <row r="269" spans="41:41" x14ac:dyDescent="0.25">
      <c r="AO269" s="62"/>
    </row>
    <row r="270" spans="41:41" x14ac:dyDescent="0.25">
      <c r="AO270" s="62"/>
    </row>
    <row r="271" spans="41:41" x14ac:dyDescent="0.25">
      <c r="AO271" s="62"/>
    </row>
    <row r="272" spans="41:41" x14ac:dyDescent="0.25">
      <c r="AO272" s="62"/>
    </row>
    <row r="273" spans="41:41" x14ac:dyDescent="0.25">
      <c r="AO273" s="62"/>
    </row>
    <row r="274" spans="41:41" x14ac:dyDescent="0.25">
      <c r="AO274" s="62"/>
    </row>
    <row r="275" spans="41:41" x14ac:dyDescent="0.25">
      <c r="AO275" s="62"/>
    </row>
    <row r="276" spans="41:41" x14ac:dyDescent="0.25">
      <c r="AO276" s="62"/>
    </row>
    <row r="277" spans="41:41" x14ac:dyDescent="0.25">
      <c r="AO277" s="62"/>
    </row>
    <row r="278" spans="41:41" x14ac:dyDescent="0.25">
      <c r="AO278" s="62"/>
    </row>
    <row r="279" spans="41:41" x14ac:dyDescent="0.25">
      <c r="AO279" s="62"/>
    </row>
    <row r="280" spans="41:41" x14ac:dyDescent="0.25">
      <c r="AO280" s="62"/>
    </row>
    <row r="281" spans="41:41" x14ac:dyDescent="0.25">
      <c r="AO281" s="62"/>
    </row>
    <row r="282" spans="41:41" x14ac:dyDescent="0.25">
      <c r="AO282" s="62"/>
    </row>
    <row r="283" spans="41:41" x14ac:dyDescent="0.25">
      <c r="AO283" s="62"/>
    </row>
    <row r="284" spans="41:41" x14ac:dyDescent="0.25">
      <c r="AO284" s="62"/>
    </row>
    <row r="285" spans="41:41" x14ac:dyDescent="0.25">
      <c r="AO285" s="62"/>
    </row>
    <row r="286" spans="41:41" x14ac:dyDescent="0.25">
      <c r="AO286" s="62"/>
    </row>
    <row r="287" spans="41:41" x14ac:dyDescent="0.25">
      <c r="AO287" s="62"/>
    </row>
    <row r="288" spans="41:41" x14ac:dyDescent="0.25">
      <c r="AO288" s="62"/>
    </row>
    <row r="289" spans="41:41" x14ac:dyDescent="0.25">
      <c r="AO289" s="62"/>
    </row>
    <row r="290" spans="41:41" x14ac:dyDescent="0.25">
      <c r="AO290" s="62"/>
    </row>
    <row r="291" spans="41:41" x14ac:dyDescent="0.25">
      <c r="AO291" s="62"/>
    </row>
    <row r="292" spans="41:41" x14ac:dyDescent="0.25">
      <c r="AO292" s="62"/>
    </row>
    <row r="293" spans="41:41" x14ac:dyDescent="0.25">
      <c r="AO293" s="62"/>
    </row>
    <row r="294" spans="41:41" x14ac:dyDescent="0.25">
      <c r="AO294" s="62"/>
    </row>
    <row r="295" spans="41:41" x14ac:dyDescent="0.25">
      <c r="AO295" s="62"/>
    </row>
    <row r="296" spans="41:41" x14ac:dyDescent="0.25">
      <c r="AO296" s="62"/>
    </row>
    <row r="297" spans="41:41" x14ac:dyDescent="0.25">
      <c r="AO297" s="62"/>
    </row>
    <row r="298" spans="41:41" x14ac:dyDescent="0.25">
      <c r="AO298" s="62"/>
    </row>
    <row r="299" spans="41:41" x14ac:dyDescent="0.25">
      <c r="AO299" s="62"/>
    </row>
    <row r="300" spans="41:41" x14ac:dyDescent="0.25">
      <c r="AO300" s="62"/>
    </row>
    <row r="301" spans="41:41" x14ac:dyDescent="0.25">
      <c r="AO301" s="62"/>
    </row>
    <row r="302" spans="41:41" x14ac:dyDescent="0.25">
      <c r="AO302" s="62"/>
    </row>
    <row r="303" spans="41:41" x14ac:dyDescent="0.25">
      <c r="AO303" s="62"/>
    </row>
    <row r="304" spans="41:41" x14ac:dyDescent="0.25">
      <c r="AO304" s="62"/>
    </row>
    <row r="305" spans="41:41" x14ac:dyDescent="0.25">
      <c r="AO305" s="62"/>
    </row>
    <row r="306" spans="41:41" x14ac:dyDescent="0.25">
      <c r="AO306" s="62"/>
    </row>
    <row r="307" spans="41:41" x14ac:dyDescent="0.25">
      <c r="AO307" s="62"/>
    </row>
    <row r="308" spans="41:41" x14ac:dyDescent="0.25">
      <c r="AO308" s="62"/>
    </row>
    <row r="309" spans="41:41" x14ac:dyDescent="0.25">
      <c r="AO309" s="62"/>
    </row>
    <row r="310" spans="41:41" x14ac:dyDescent="0.25">
      <c r="AO310" s="62"/>
    </row>
    <row r="311" spans="41:41" x14ac:dyDescent="0.25">
      <c r="AO311" s="62"/>
    </row>
    <row r="312" spans="41:41" x14ac:dyDescent="0.25">
      <c r="AO312" s="62"/>
    </row>
    <row r="313" spans="41:41" x14ac:dyDescent="0.25">
      <c r="AO313" s="62"/>
    </row>
    <row r="314" spans="41:41" x14ac:dyDescent="0.25">
      <c r="AO314" s="62"/>
    </row>
    <row r="315" spans="41:41" x14ac:dyDescent="0.25">
      <c r="AO315" s="62"/>
    </row>
    <row r="316" spans="41:41" x14ac:dyDescent="0.25">
      <c r="AO316" s="62"/>
    </row>
    <row r="317" spans="41:41" x14ac:dyDescent="0.25">
      <c r="AO317" s="62"/>
    </row>
    <row r="318" spans="41:41" x14ac:dyDescent="0.25">
      <c r="AO318" s="62"/>
    </row>
    <row r="319" spans="41:41" x14ac:dyDescent="0.25">
      <c r="AO319" s="62"/>
    </row>
    <row r="320" spans="41:41" x14ac:dyDescent="0.25">
      <c r="AO320" s="62"/>
    </row>
    <row r="321" spans="41:41" x14ac:dyDescent="0.25">
      <c r="AO321" s="62"/>
    </row>
    <row r="322" spans="41:41" x14ac:dyDescent="0.25">
      <c r="AO322" s="62"/>
    </row>
    <row r="323" spans="41:41" x14ac:dyDescent="0.25">
      <c r="AO323" s="62"/>
    </row>
    <row r="324" spans="41:41" x14ac:dyDescent="0.25">
      <c r="AO324" s="62"/>
    </row>
    <row r="325" spans="41:41" x14ac:dyDescent="0.25">
      <c r="AO325" s="62"/>
    </row>
    <row r="326" spans="41:41" x14ac:dyDescent="0.25">
      <c r="AO326" s="62"/>
    </row>
    <row r="327" spans="41:41" x14ac:dyDescent="0.25">
      <c r="AO327" s="62"/>
    </row>
    <row r="328" spans="41:41" x14ac:dyDescent="0.25">
      <c r="AO328" s="62"/>
    </row>
    <row r="329" spans="41:41" x14ac:dyDescent="0.25">
      <c r="AO329" s="62"/>
    </row>
    <row r="330" spans="41:41" x14ac:dyDescent="0.25">
      <c r="AO330" s="62"/>
    </row>
    <row r="331" spans="41:41" x14ac:dyDescent="0.25">
      <c r="AO331" s="62"/>
    </row>
    <row r="332" spans="41:41" x14ac:dyDescent="0.25">
      <c r="AO332" s="62"/>
    </row>
    <row r="333" spans="41:41" x14ac:dyDescent="0.25">
      <c r="AO333" s="62"/>
    </row>
    <row r="334" spans="41:41" x14ac:dyDescent="0.25">
      <c r="AO334" s="62"/>
    </row>
    <row r="335" spans="41:41" x14ac:dyDescent="0.25">
      <c r="AO335" s="62"/>
    </row>
    <row r="336" spans="41:41" x14ac:dyDescent="0.25">
      <c r="AO336" s="62"/>
    </row>
    <row r="337" spans="41:41" x14ac:dyDescent="0.25">
      <c r="AO337" s="62"/>
    </row>
    <row r="338" spans="41:41" x14ac:dyDescent="0.25">
      <c r="AO338" s="62"/>
    </row>
    <row r="339" spans="41:41" x14ac:dyDescent="0.25">
      <c r="AO339" s="62"/>
    </row>
    <row r="340" spans="41:41" x14ac:dyDescent="0.25">
      <c r="AO340" s="62"/>
    </row>
    <row r="341" spans="41:41" x14ac:dyDescent="0.25">
      <c r="AO341" s="62"/>
    </row>
    <row r="342" spans="41:41" x14ac:dyDescent="0.25">
      <c r="AO342" s="62"/>
    </row>
    <row r="343" spans="41:41" x14ac:dyDescent="0.25">
      <c r="AO343" s="62"/>
    </row>
    <row r="344" spans="41:41" x14ac:dyDescent="0.25">
      <c r="AO344" s="62"/>
    </row>
    <row r="345" spans="41:41" x14ac:dyDescent="0.25">
      <c r="AO345" s="62"/>
    </row>
    <row r="346" spans="41:41" x14ac:dyDescent="0.25">
      <c r="AO346" s="62"/>
    </row>
    <row r="347" spans="41:41" x14ac:dyDescent="0.25">
      <c r="AO347" s="62"/>
    </row>
    <row r="348" spans="41:41" x14ac:dyDescent="0.25">
      <c r="AO348" s="62"/>
    </row>
    <row r="349" spans="41:41" x14ac:dyDescent="0.25">
      <c r="AO349" s="62"/>
    </row>
    <row r="350" spans="41:41" x14ac:dyDescent="0.25">
      <c r="AO350" s="62"/>
    </row>
    <row r="351" spans="41:41" x14ac:dyDescent="0.25">
      <c r="AO351" s="62"/>
    </row>
    <row r="352" spans="41:41" x14ac:dyDescent="0.25">
      <c r="AO352" s="62"/>
    </row>
    <row r="353" spans="41:41" x14ac:dyDescent="0.25">
      <c r="AO353" s="62"/>
    </row>
    <row r="354" spans="41:41" x14ac:dyDescent="0.25">
      <c r="AO354" s="62"/>
    </row>
    <row r="355" spans="41:41" x14ac:dyDescent="0.25">
      <c r="AO355" s="62"/>
    </row>
    <row r="356" spans="41:41" x14ac:dyDescent="0.25">
      <c r="AO356" s="62"/>
    </row>
    <row r="357" spans="41:41" x14ac:dyDescent="0.25">
      <c r="AO357" s="62"/>
    </row>
    <row r="358" spans="41:41" x14ac:dyDescent="0.25">
      <c r="AO358" s="62"/>
    </row>
    <row r="359" spans="41:41" x14ac:dyDescent="0.25">
      <c r="AO359" s="62"/>
    </row>
    <row r="360" spans="41:41" x14ac:dyDescent="0.25">
      <c r="AO360" s="62"/>
    </row>
    <row r="361" spans="41:41" x14ac:dyDescent="0.25">
      <c r="AO361" s="62"/>
    </row>
    <row r="362" spans="41:41" x14ac:dyDescent="0.25">
      <c r="AO362" s="62"/>
    </row>
    <row r="363" spans="41:41" x14ac:dyDescent="0.25">
      <c r="AO363" s="62"/>
    </row>
    <row r="364" spans="41:41" x14ac:dyDescent="0.25">
      <c r="AO364" s="62"/>
    </row>
    <row r="365" spans="41:41" x14ac:dyDescent="0.25">
      <c r="AO365" s="62"/>
    </row>
    <row r="366" spans="41:41" x14ac:dyDescent="0.25">
      <c r="AO366" s="62"/>
    </row>
    <row r="367" spans="41:41" x14ac:dyDescent="0.25">
      <c r="AO367" s="62"/>
    </row>
    <row r="368" spans="41:41" x14ac:dyDescent="0.25">
      <c r="AO368" s="62"/>
    </row>
    <row r="369" spans="41:41" x14ac:dyDescent="0.25">
      <c r="AO369" s="62"/>
    </row>
    <row r="370" spans="41:41" x14ac:dyDescent="0.25">
      <c r="AO370" s="62"/>
    </row>
    <row r="371" spans="41:41" x14ac:dyDescent="0.25">
      <c r="AO371" s="62"/>
    </row>
    <row r="372" spans="41:41" x14ac:dyDescent="0.25">
      <c r="AO372" s="62"/>
    </row>
    <row r="373" spans="41:41" x14ac:dyDescent="0.25">
      <c r="AO373" s="62"/>
    </row>
    <row r="374" spans="41:41" x14ac:dyDescent="0.25">
      <c r="AO374" s="62"/>
    </row>
    <row r="375" spans="41:41" x14ac:dyDescent="0.25">
      <c r="AO375" s="62"/>
    </row>
    <row r="376" spans="41:41" x14ac:dyDescent="0.25">
      <c r="AO376" s="62"/>
    </row>
    <row r="377" spans="41:41" x14ac:dyDescent="0.25">
      <c r="AO377" s="62"/>
    </row>
    <row r="378" spans="41:41" x14ac:dyDescent="0.25">
      <c r="AO378" s="62"/>
    </row>
    <row r="379" spans="41:41" x14ac:dyDescent="0.25">
      <c r="AO379" s="62"/>
    </row>
    <row r="380" spans="41:41" x14ac:dyDescent="0.25">
      <c r="AO380" s="62"/>
    </row>
    <row r="381" spans="41:41" x14ac:dyDescent="0.25">
      <c r="AO381" s="62"/>
    </row>
    <row r="382" spans="41:41" x14ac:dyDescent="0.25">
      <c r="AO382" s="62"/>
    </row>
    <row r="383" spans="41:41" x14ac:dyDescent="0.25">
      <c r="AO383" s="62"/>
    </row>
    <row r="384" spans="41:41" x14ac:dyDescent="0.25">
      <c r="AO384" s="62"/>
    </row>
    <row r="385" spans="41:41" x14ac:dyDescent="0.25">
      <c r="AO385" s="62"/>
    </row>
    <row r="386" spans="41:41" x14ac:dyDescent="0.25">
      <c r="AO386" s="62"/>
    </row>
    <row r="387" spans="41:41" x14ac:dyDescent="0.25">
      <c r="AO387" s="62"/>
    </row>
    <row r="388" spans="41:41" x14ac:dyDescent="0.25">
      <c r="AO388" s="62"/>
    </row>
    <row r="389" spans="41:41" x14ac:dyDescent="0.25">
      <c r="AO389" s="62"/>
    </row>
    <row r="390" spans="41:41" x14ac:dyDescent="0.25">
      <c r="AO390" s="62"/>
    </row>
    <row r="391" spans="41:41" x14ac:dyDescent="0.25">
      <c r="AO391" s="62"/>
    </row>
    <row r="392" spans="41:41" x14ac:dyDescent="0.25">
      <c r="AO392" s="62"/>
    </row>
    <row r="393" spans="41:41" x14ac:dyDescent="0.25">
      <c r="AO393" s="62"/>
    </row>
    <row r="394" spans="41:41" x14ac:dyDescent="0.25">
      <c r="AO394" s="62"/>
    </row>
    <row r="395" spans="41:41" x14ac:dyDescent="0.25">
      <c r="AO395" s="62"/>
    </row>
    <row r="396" spans="41:41" x14ac:dyDescent="0.25">
      <c r="AO396" s="62"/>
    </row>
    <row r="397" spans="41:41" x14ac:dyDescent="0.25">
      <c r="AO397" s="62"/>
    </row>
    <row r="398" spans="41:41" x14ac:dyDescent="0.25">
      <c r="AO398" s="62"/>
    </row>
    <row r="399" spans="41:41" x14ac:dyDescent="0.25">
      <c r="AO399" s="62"/>
    </row>
    <row r="400" spans="41:41" x14ac:dyDescent="0.25">
      <c r="AO400" s="62"/>
    </row>
    <row r="401" spans="41:41" x14ac:dyDescent="0.25">
      <c r="AO401" s="62"/>
    </row>
    <row r="402" spans="41:41" x14ac:dyDescent="0.25">
      <c r="AO402" s="62"/>
    </row>
    <row r="403" spans="41:41" x14ac:dyDescent="0.25">
      <c r="AO403" s="62"/>
    </row>
    <row r="404" spans="41:41" x14ac:dyDescent="0.25">
      <c r="AO404" s="62"/>
    </row>
    <row r="405" spans="41:41" x14ac:dyDescent="0.25">
      <c r="AO405" s="62"/>
    </row>
    <row r="406" spans="41:41" x14ac:dyDescent="0.25">
      <c r="AO406" s="62"/>
    </row>
    <row r="407" spans="41:41" x14ac:dyDescent="0.25">
      <c r="AO407" s="62"/>
    </row>
    <row r="408" spans="41:41" x14ac:dyDescent="0.25">
      <c r="AO408" s="62"/>
    </row>
    <row r="409" spans="41:41" x14ac:dyDescent="0.25">
      <c r="AO409" s="62"/>
    </row>
    <row r="410" spans="41:41" x14ac:dyDescent="0.25">
      <c r="AO410" s="62"/>
    </row>
    <row r="411" spans="41:41" x14ac:dyDescent="0.25">
      <c r="AO411" s="62"/>
    </row>
    <row r="412" spans="41:41" x14ac:dyDescent="0.25">
      <c r="AO412" s="62"/>
    </row>
    <row r="413" spans="41:41" x14ac:dyDescent="0.25">
      <c r="AO413" s="62"/>
    </row>
    <row r="414" spans="41:41" x14ac:dyDescent="0.25">
      <c r="AO414" s="62"/>
    </row>
    <row r="415" spans="41:41" x14ac:dyDescent="0.25">
      <c r="AO415" s="62"/>
    </row>
    <row r="416" spans="41:41" x14ac:dyDescent="0.25">
      <c r="AO416" s="62"/>
    </row>
    <row r="417" spans="41:41" x14ac:dyDescent="0.25">
      <c r="AO417" s="62"/>
    </row>
    <row r="418" spans="41:41" x14ac:dyDescent="0.25">
      <c r="AO418" s="62"/>
    </row>
    <row r="419" spans="41:41" x14ac:dyDescent="0.25">
      <c r="AO419" s="62"/>
    </row>
    <row r="420" spans="41:41" x14ac:dyDescent="0.25">
      <c r="AO420" s="62"/>
    </row>
    <row r="421" spans="41:41" x14ac:dyDescent="0.25">
      <c r="AO421" s="62"/>
    </row>
    <row r="422" spans="41:41" x14ac:dyDescent="0.25">
      <c r="AO422" s="62"/>
    </row>
    <row r="423" spans="41:41" x14ac:dyDescent="0.25">
      <c r="AO423" s="62"/>
    </row>
    <row r="424" spans="41:41" x14ac:dyDescent="0.25">
      <c r="AO424" s="62"/>
    </row>
    <row r="425" spans="41:41" x14ac:dyDescent="0.25">
      <c r="AO425" s="62"/>
    </row>
    <row r="426" spans="41:41" x14ac:dyDescent="0.25">
      <c r="AO426" s="62"/>
    </row>
    <row r="427" spans="41:41" x14ac:dyDescent="0.25">
      <c r="AO427" s="62"/>
    </row>
    <row r="428" spans="41:41" x14ac:dyDescent="0.25">
      <c r="AO428" s="62"/>
    </row>
    <row r="429" spans="41:41" x14ac:dyDescent="0.25">
      <c r="AO429" s="62"/>
    </row>
    <row r="430" spans="41:41" x14ac:dyDescent="0.25">
      <c r="AO430" s="62"/>
    </row>
    <row r="431" spans="41:41" x14ac:dyDescent="0.25">
      <c r="AO431" s="62"/>
    </row>
    <row r="432" spans="41:41" x14ac:dyDescent="0.25">
      <c r="AO432" s="62"/>
    </row>
    <row r="433" spans="41:41" x14ac:dyDescent="0.25">
      <c r="AO433" s="62"/>
    </row>
    <row r="434" spans="41:41" x14ac:dyDescent="0.25">
      <c r="AO434" s="62"/>
    </row>
    <row r="435" spans="41:41" x14ac:dyDescent="0.25">
      <c r="AO435" s="62"/>
    </row>
    <row r="436" spans="41:41" x14ac:dyDescent="0.25">
      <c r="AO436" s="62"/>
    </row>
    <row r="437" spans="41:41" x14ac:dyDescent="0.25">
      <c r="AO437" s="62"/>
    </row>
    <row r="438" spans="41:41" x14ac:dyDescent="0.25">
      <c r="AO438" s="62"/>
    </row>
    <row r="439" spans="41:41" x14ac:dyDescent="0.25">
      <c r="AO439" s="62"/>
    </row>
    <row r="440" spans="41:41" x14ac:dyDescent="0.25">
      <c r="AO440" s="62"/>
    </row>
    <row r="441" spans="41:41" x14ac:dyDescent="0.25">
      <c r="AO441" s="62"/>
    </row>
    <row r="442" spans="41:41" x14ac:dyDescent="0.25">
      <c r="AO442" s="62"/>
    </row>
    <row r="443" spans="41:41" x14ac:dyDescent="0.25">
      <c r="AO443" s="62"/>
    </row>
    <row r="444" spans="41:41" x14ac:dyDescent="0.25">
      <c r="AO444" s="62"/>
    </row>
    <row r="445" spans="41:41" x14ac:dyDescent="0.25">
      <c r="AO445" s="62"/>
    </row>
    <row r="446" spans="41:41" x14ac:dyDescent="0.25">
      <c r="AO446" s="62"/>
    </row>
    <row r="447" spans="41:41" x14ac:dyDescent="0.25">
      <c r="AO447" s="62"/>
    </row>
    <row r="448" spans="41:41" x14ac:dyDescent="0.25">
      <c r="AO448" s="62"/>
    </row>
    <row r="449" spans="41:41" x14ac:dyDescent="0.25">
      <c r="AO449" s="62"/>
    </row>
    <row r="450" spans="41:41" x14ac:dyDescent="0.25">
      <c r="AO450" s="62"/>
    </row>
    <row r="451" spans="41:41" x14ac:dyDescent="0.25">
      <c r="AO451" s="62"/>
    </row>
    <row r="452" spans="41:41" x14ac:dyDescent="0.25">
      <c r="AO452" s="62"/>
    </row>
    <row r="453" spans="41:41" x14ac:dyDescent="0.25">
      <c r="AO453" s="62"/>
    </row>
    <row r="454" spans="41:41" x14ac:dyDescent="0.25">
      <c r="AO454" s="62"/>
    </row>
    <row r="455" spans="41:41" x14ac:dyDescent="0.25">
      <c r="AO455" s="62"/>
    </row>
    <row r="456" spans="41:41" x14ac:dyDescent="0.25">
      <c r="AO456" s="62"/>
    </row>
    <row r="457" spans="41:41" x14ac:dyDescent="0.25">
      <c r="AO457" s="62"/>
    </row>
    <row r="458" spans="41:41" x14ac:dyDescent="0.25">
      <c r="AO458" s="62"/>
    </row>
    <row r="459" spans="41:41" x14ac:dyDescent="0.25">
      <c r="AO459" s="62"/>
    </row>
    <row r="460" spans="41:41" x14ac:dyDescent="0.25">
      <c r="AO460" s="62"/>
    </row>
    <row r="461" spans="41:41" x14ac:dyDescent="0.25">
      <c r="AO461" s="62"/>
    </row>
    <row r="462" spans="41:41" x14ac:dyDescent="0.25">
      <c r="AO462" s="62"/>
    </row>
    <row r="463" spans="41:41" x14ac:dyDescent="0.25">
      <c r="AO463" s="62"/>
    </row>
    <row r="464" spans="41:41" x14ac:dyDescent="0.25">
      <c r="AO464" s="62"/>
    </row>
    <row r="465" spans="41:41" x14ac:dyDescent="0.25">
      <c r="AO465" s="62"/>
    </row>
    <row r="466" spans="41:41" x14ac:dyDescent="0.25">
      <c r="AO466" s="62"/>
    </row>
    <row r="467" spans="41:41" x14ac:dyDescent="0.25">
      <c r="AO467" s="62"/>
    </row>
    <row r="468" spans="41:41" x14ac:dyDescent="0.25">
      <c r="AO468" s="62"/>
    </row>
    <row r="469" spans="41:41" x14ac:dyDescent="0.25">
      <c r="AO469" s="62"/>
    </row>
    <row r="470" spans="41:41" x14ac:dyDescent="0.25">
      <c r="AO470" s="62"/>
    </row>
    <row r="471" spans="41:41" x14ac:dyDescent="0.25">
      <c r="AO471" s="62"/>
    </row>
    <row r="472" spans="41:41" x14ac:dyDescent="0.25">
      <c r="AO472" s="62"/>
    </row>
    <row r="473" spans="41:41" x14ac:dyDescent="0.25">
      <c r="AO473" s="62"/>
    </row>
    <row r="474" spans="41:41" x14ac:dyDescent="0.25">
      <c r="AO474" s="62"/>
    </row>
    <row r="475" spans="41:41" x14ac:dyDescent="0.25">
      <c r="AO475" s="62"/>
    </row>
    <row r="476" spans="41:41" x14ac:dyDescent="0.25">
      <c r="AO476" s="62"/>
    </row>
    <row r="477" spans="41:41" x14ac:dyDescent="0.25">
      <c r="AO477" s="62"/>
    </row>
    <row r="478" spans="41:41" x14ac:dyDescent="0.25">
      <c r="AO478" s="62"/>
    </row>
    <row r="479" spans="41:41" x14ac:dyDescent="0.25">
      <c r="AO479" s="62"/>
    </row>
    <row r="480" spans="41:41" x14ac:dyDescent="0.25">
      <c r="AO480" s="62"/>
    </row>
    <row r="481" spans="41:41" x14ac:dyDescent="0.25">
      <c r="AO481" s="62"/>
    </row>
    <row r="482" spans="41:41" x14ac:dyDescent="0.25">
      <c r="AO482" s="62"/>
    </row>
    <row r="483" spans="41:41" x14ac:dyDescent="0.25">
      <c r="AO483" s="62"/>
    </row>
    <row r="484" spans="41:41" x14ac:dyDescent="0.25">
      <c r="AO484" s="62"/>
    </row>
    <row r="485" spans="41:41" x14ac:dyDescent="0.25">
      <c r="AO485" s="62"/>
    </row>
    <row r="486" spans="41:41" x14ac:dyDescent="0.25">
      <c r="AO486" s="62"/>
    </row>
    <row r="487" spans="41:41" x14ac:dyDescent="0.25">
      <c r="AO487" s="62"/>
    </row>
    <row r="488" spans="41:41" x14ac:dyDescent="0.25">
      <c r="AO488" s="62"/>
    </row>
    <row r="489" spans="41:41" x14ac:dyDescent="0.25">
      <c r="AO489" s="62"/>
    </row>
    <row r="490" spans="41:41" x14ac:dyDescent="0.25">
      <c r="AO490" s="62"/>
    </row>
    <row r="491" spans="41:41" x14ac:dyDescent="0.25">
      <c r="AO491" s="62"/>
    </row>
    <row r="492" spans="41:41" x14ac:dyDescent="0.25">
      <c r="AO492" s="62"/>
    </row>
    <row r="493" spans="41:41" x14ac:dyDescent="0.25">
      <c r="AO493" s="62"/>
    </row>
    <row r="494" spans="41:41" x14ac:dyDescent="0.25">
      <c r="AO494" s="62"/>
    </row>
    <row r="495" spans="41:41" x14ac:dyDescent="0.25">
      <c r="AO495" s="62"/>
    </row>
    <row r="496" spans="41:41" x14ac:dyDescent="0.25">
      <c r="AO496" s="62"/>
    </row>
    <row r="497" spans="41:41" x14ac:dyDescent="0.25">
      <c r="AO497" s="62"/>
    </row>
    <row r="498" spans="41:41" x14ac:dyDescent="0.25">
      <c r="AO498" s="62"/>
    </row>
    <row r="499" spans="41:41" x14ac:dyDescent="0.25">
      <c r="AO499" s="62"/>
    </row>
    <row r="500" spans="41:41" x14ac:dyDescent="0.25">
      <c r="AO500" s="62"/>
    </row>
    <row r="501" spans="41:41" x14ac:dyDescent="0.25">
      <c r="AO501" s="62"/>
    </row>
    <row r="502" spans="41:41" x14ac:dyDescent="0.25">
      <c r="AO502" s="62"/>
    </row>
    <row r="503" spans="41:41" x14ac:dyDescent="0.25">
      <c r="AO503" s="62"/>
    </row>
    <row r="504" spans="41:41" x14ac:dyDescent="0.25">
      <c r="AO504" s="62"/>
    </row>
    <row r="505" spans="41:41" x14ac:dyDescent="0.25">
      <c r="AO505" s="62"/>
    </row>
    <row r="506" spans="41:41" x14ac:dyDescent="0.25">
      <c r="AO506" s="62"/>
    </row>
    <row r="507" spans="41:41" x14ac:dyDescent="0.25">
      <c r="AO507" s="62"/>
    </row>
    <row r="508" spans="41:41" x14ac:dyDescent="0.25">
      <c r="AO508" s="62"/>
    </row>
    <row r="509" spans="41:41" x14ac:dyDescent="0.25">
      <c r="AO509" s="62"/>
    </row>
    <row r="510" spans="41:41" x14ac:dyDescent="0.25">
      <c r="AO510" s="62"/>
    </row>
    <row r="511" spans="41:41" x14ac:dyDescent="0.25">
      <c r="AO511" s="62"/>
    </row>
    <row r="512" spans="41:41" x14ac:dyDescent="0.25">
      <c r="AO512" s="62"/>
    </row>
    <row r="513" spans="41:41" x14ac:dyDescent="0.25">
      <c r="AO513" s="62"/>
    </row>
    <row r="514" spans="41:41" x14ac:dyDescent="0.25">
      <c r="AO514" s="62"/>
    </row>
    <row r="515" spans="41:41" x14ac:dyDescent="0.25">
      <c r="AO515" s="62"/>
    </row>
    <row r="516" spans="41:41" x14ac:dyDescent="0.25">
      <c r="AO516" s="62"/>
    </row>
    <row r="517" spans="41:41" x14ac:dyDescent="0.25">
      <c r="AO517" s="62"/>
    </row>
    <row r="518" spans="41:41" x14ac:dyDescent="0.25">
      <c r="AO518" s="62"/>
    </row>
    <row r="519" spans="41:41" x14ac:dyDescent="0.25">
      <c r="AO519" s="62"/>
    </row>
    <row r="520" spans="41:41" x14ac:dyDescent="0.25">
      <c r="AO520" s="62"/>
    </row>
    <row r="521" spans="41:41" x14ac:dyDescent="0.25">
      <c r="AO521" s="62"/>
    </row>
    <row r="522" spans="41:41" x14ac:dyDescent="0.25">
      <c r="AO522" s="62"/>
    </row>
    <row r="523" spans="41:41" x14ac:dyDescent="0.25">
      <c r="AO523" s="62"/>
    </row>
    <row r="524" spans="41:41" x14ac:dyDescent="0.25">
      <c r="AO524" s="62"/>
    </row>
    <row r="525" spans="41:41" x14ac:dyDescent="0.25">
      <c r="AO525" s="62"/>
    </row>
    <row r="526" spans="41:41" x14ac:dyDescent="0.25">
      <c r="AO526" s="62"/>
    </row>
    <row r="527" spans="41:41" x14ac:dyDescent="0.25">
      <c r="AO527" s="62"/>
    </row>
    <row r="528" spans="41:41" x14ac:dyDescent="0.25">
      <c r="AO528" s="62"/>
    </row>
    <row r="529" spans="41:41" x14ac:dyDescent="0.25">
      <c r="AO529" s="62"/>
    </row>
    <row r="530" spans="41:41" x14ac:dyDescent="0.25">
      <c r="AO530" s="62"/>
    </row>
    <row r="531" spans="41:41" x14ac:dyDescent="0.25">
      <c r="AO531" s="62"/>
    </row>
    <row r="532" spans="41:41" x14ac:dyDescent="0.25">
      <c r="AO532" s="62"/>
    </row>
    <row r="533" spans="41:41" x14ac:dyDescent="0.25">
      <c r="AO533" s="62"/>
    </row>
    <row r="534" spans="41:41" x14ac:dyDescent="0.25">
      <c r="AO534" s="62"/>
    </row>
    <row r="535" spans="41:41" x14ac:dyDescent="0.25">
      <c r="AO535" s="62"/>
    </row>
    <row r="536" spans="41:41" x14ac:dyDescent="0.25">
      <c r="AO536" s="62"/>
    </row>
    <row r="537" spans="41:41" x14ac:dyDescent="0.25">
      <c r="AO537" s="62"/>
    </row>
    <row r="538" spans="41:41" x14ac:dyDescent="0.25">
      <c r="AO538" s="62"/>
    </row>
    <row r="539" spans="41:41" x14ac:dyDescent="0.25">
      <c r="AO539" s="62"/>
    </row>
    <row r="540" spans="41:41" x14ac:dyDescent="0.25">
      <c r="AO540" s="62"/>
    </row>
    <row r="541" spans="41:41" x14ac:dyDescent="0.25">
      <c r="AO541" s="62"/>
    </row>
    <row r="542" spans="41:41" x14ac:dyDescent="0.25">
      <c r="AO542" s="62"/>
    </row>
    <row r="543" spans="41:41" x14ac:dyDescent="0.25">
      <c r="AO543" s="62"/>
    </row>
    <row r="544" spans="41:41" x14ac:dyDescent="0.25">
      <c r="AO544" s="62"/>
    </row>
    <row r="545" spans="41:41" x14ac:dyDescent="0.25">
      <c r="AO545" s="62"/>
    </row>
    <row r="546" spans="41:41" x14ac:dyDescent="0.25">
      <c r="AO546" s="62"/>
    </row>
    <row r="547" spans="41:41" x14ac:dyDescent="0.25">
      <c r="AO547" s="62"/>
    </row>
    <row r="548" spans="41:41" x14ac:dyDescent="0.25">
      <c r="AO548" s="62"/>
    </row>
    <row r="549" spans="41:41" x14ac:dyDescent="0.25">
      <c r="AO549" s="62"/>
    </row>
    <row r="550" spans="41:41" x14ac:dyDescent="0.25">
      <c r="AO550" s="62"/>
    </row>
    <row r="551" spans="41:41" x14ac:dyDescent="0.25">
      <c r="AO551" s="62"/>
    </row>
    <row r="552" spans="41:41" x14ac:dyDescent="0.25">
      <c r="AO552" s="62"/>
    </row>
    <row r="553" spans="41:41" x14ac:dyDescent="0.25">
      <c r="AO553" s="62"/>
    </row>
    <row r="554" spans="41:41" x14ac:dyDescent="0.25">
      <c r="AO554" s="62"/>
    </row>
    <row r="555" spans="41:41" x14ac:dyDescent="0.25">
      <c r="AO555" s="62"/>
    </row>
    <row r="556" spans="41:41" x14ac:dyDescent="0.25">
      <c r="AO556" s="62"/>
    </row>
    <row r="557" spans="41:41" x14ac:dyDescent="0.25">
      <c r="AO557" s="62"/>
    </row>
    <row r="558" spans="41:41" x14ac:dyDescent="0.25">
      <c r="AO558" s="62"/>
    </row>
    <row r="559" spans="41:41" x14ac:dyDescent="0.25">
      <c r="AO559" s="62"/>
    </row>
    <row r="560" spans="41:41" x14ac:dyDescent="0.25">
      <c r="AO560" s="62"/>
    </row>
    <row r="561" spans="41:41" x14ac:dyDescent="0.25">
      <c r="AO561" s="62"/>
    </row>
    <row r="562" spans="41:41" x14ac:dyDescent="0.25">
      <c r="AO562" s="62"/>
    </row>
    <row r="563" spans="41:41" x14ac:dyDescent="0.25">
      <c r="AO563" s="62"/>
    </row>
    <row r="564" spans="41:41" x14ac:dyDescent="0.25">
      <c r="AO564" s="62"/>
    </row>
    <row r="565" spans="41:41" x14ac:dyDescent="0.25">
      <c r="AO565" s="62"/>
    </row>
    <row r="566" spans="41:41" x14ac:dyDescent="0.25">
      <c r="AO566" s="62"/>
    </row>
    <row r="567" spans="41:41" x14ac:dyDescent="0.25">
      <c r="AO567" s="62"/>
    </row>
    <row r="568" spans="41:41" x14ac:dyDescent="0.25">
      <c r="AO568" s="62"/>
    </row>
    <row r="569" spans="41:41" x14ac:dyDescent="0.25">
      <c r="AO569" s="62"/>
    </row>
    <row r="570" spans="41:41" x14ac:dyDescent="0.25">
      <c r="AO570" s="62"/>
    </row>
    <row r="571" spans="41:41" x14ac:dyDescent="0.25">
      <c r="AO571" s="62"/>
    </row>
    <row r="572" spans="41:41" x14ac:dyDescent="0.25">
      <c r="AO572" s="62"/>
    </row>
    <row r="573" spans="41:41" x14ac:dyDescent="0.25">
      <c r="AO573" s="62"/>
    </row>
    <row r="574" spans="41:41" x14ac:dyDescent="0.25">
      <c r="AO574" s="62"/>
    </row>
    <row r="575" spans="41:41" x14ac:dyDescent="0.25">
      <c r="AO575" s="62"/>
    </row>
    <row r="576" spans="41:41" x14ac:dyDescent="0.25">
      <c r="AO576" s="62"/>
    </row>
    <row r="577" spans="41:41" x14ac:dyDescent="0.25">
      <c r="AO577" s="62"/>
    </row>
    <row r="578" spans="41:41" x14ac:dyDescent="0.25">
      <c r="AO578" s="62"/>
    </row>
    <row r="579" spans="41:41" x14ac:dyDescent="0.25">
      <c r="AO579" s="62"/>
    </row>
    <row r="580" spans="41:41" x14ac:dyDescent="0.25">
      <c r="AO580" s="62"/>
    </row>
    <row r="581" spans="41:41" x14ac:dyDescent="0.25">
      <c r="AO581" s="62"/>
    </row>
    <row r="582" spans="41:41" x14ac:dyDescent="0.25">
      <c r="AO582" s="62"/>
    </row>
    <row r="583" spans="41:41" x14ac:dyDescent="0.25">
      <c r="AO583" s="62"/>
    </row>
    <row r="584" spans="41:41" x14ac:dyDescent="0.25">
      <c r="AO584" s="62"/>
    </row>
    <row r="585" spans="41:41" x14ac:dyDescent="0.25">
      <c r="AO585" s="62"/>
    </row>
    <row r="586" spans="41:41" x14ac:dyDescent="0.25">
      <c r="AO586" s="62"/>
    </row>
    <row r="587" spans="41:41" x14ac:dyDescent="0.25">
      <c r="AO587" s="62"/>
    </row>
    <row r="588" spans="41:41" x14ac:dyDescent="0.25">
      <c r="AO588" s="62"/>
    </row>
    <row r="589" spans="41:41" x14ac:dyDescent="0.25">
      <c r="AO589" s="62"/>
    </row>
    <row r="590" spans="41:41" x14ac:dyDescent="0.25">
      <c r="AO590" s="62"/>
    </row>
    <row r="591" spans="41:41" x14ac:dyDescent="0.25">
      <c r="AO591" s="62"/>
    </row>
    <row r="592" spans="41:41" x14ac:dyDescent="0.25">
      <c r="AO592" s="62"/>
    </row>
    <row r="593" spans="41:41" x14ac:dyDescent="0.25">
      <c r="AO593" s="62"/>
    </row>
    <row r="594" spans="41:41" x14ac:dyDescent="0.25">
      <c r="AO594" s="62"/>
    </row>
    <row r="595" spans="41:41" x14ac:dyDescent="0.25">
      <c r="AO595" s="62"/>
    </row>
    <row r="596" spans="41:41" x14ac:dyDescent="0.25">
      <c r="AO596" s="62"/>
    </row>
    <row r="597" spans="41:41" x14ac:dyDescent="0.25">
      <c r="AO597" s="62"/>
    </row>
    <row r="598" spans="41:41" x14ac:dyDescent="0.25">
      <c r="AO598" s="62"/>
    </row>
    <row r="599" spans="41:41" x14ac:dyDescent="0.25">
      <c r="AO599" s="62"/>
    </row>
    <row r="600" spans="41:41" x14ac:dyDescent="0.25">
      <c r="AO600" s="62"/>
    </row>
    <row r="601" spans="41:41" x14ac:dyDescent="0.25">
      <c r="AO601" s="62"/>
    </row>
    <row r="602" spans="41:41" x14ac:dyDescent="0.25">
      <c r="AO602" s="62"/>
    </row>
    <row r="603" spans="41:41" x14ac:dyDescent="0.25">
      <c r="AO603" s="62"/>
    </row>
    <row r="604" spans="41:41" x14ac:dyDescent="0.25">
      <c r="AO604" s="62"/>
    </row>
    <row r="605" spans="41:41" x14ac:dyDescent="0.25">
      <c r="AO605" s="62"/>
    </row>
    <row r="606" spans="41:41" x14ac:dyDescent="0.25">
      <c r="AO606" s="62"/>
    </row>
    <row r="607" spans="41:41" x14ac:dyDescent="0.25">
      <c r="AO607" s="62"/>
    </row>
    <row r="608" spans="41:41" x14ac:dyDescent="0.25">
      <c r="AO608" s="62"/>
    </row>
    <row r="609" spans="41:41" x14ac:dyDescent="0.25">
      <c r="AO609" s="62"/>
    </row>
    <row r="610" spans="41:41" x14ac:dyDescent="0.25">
      <c r="AO610" s="62"/>
    </row>
    <row r="611" spans="41:41" x14ac:dyDescent="0.25">
      <c r="AO611" s="62"/>
    </row>
    <row r="612" spans="41:41" x14ac:dyDescent="0.25">
      <c r="AO612" s="62"/>
    </row>
    <row r="613" spans="41:41" x14ac:dyDescent="0.25">
      <c r="AO613" s="62"/>
    </row>
    <row r="614" spans="41:41" x14ac:dyDescent="0.25">
      <c r="AO614" s="62"/>
    </row>
    <row r="615" spans="41:41" x14ac:dyDescent="0.25">
      <c r="AO615" s="62"/>
    </row>
    <row r="616" spans="41:41" x14ac:dyDescent="0.25">
      <c r="AO616" s="62"/>
    </row>
    <row r="617" spans="41:41" x14ac:dyDescent="0.25">
      <c r="AO617" s="62"/>
    </row>
    <row r="618" spans="41:41" x14ac:dyDescent="0.25">
      <c r="AO618" s="62"/>
    </row>
    <row r="619" spans="41:41" x14ac:dyDescent="0.25">
      <c r="AO619" s="62"/>
    </row>
    <row r="620" spans="41:41" x14ac:dyDescent="0.25">
      <c r="AO620" s="62"/>
    </row>
    <row r="621" spans="41:41" x14ac:dyDescent="0.25">
      <c r="AO621" s="62"/>
    </row>
    <row r="622" spans="41:41" x14ac:dyDescent="0.25">
      <c r="AO622" s="62"/>
    </row>
    <row r="623" spans="41:41" x14ac:dyDescent="0.25">
      <c r="AO623" s="62"/>
    </row>
    <row r="624" spans="41:41" x14ac:dyDescent="0.25">
      <c r="AO624" s="62"/>
    </row>
    <row r="625" spans="41:41" x14ac:dyDescent="0.25">
      <c r="AO625" s="62"/>
    </row>
    <row r="626" spans="41:41" x14ac:dyDescent="0.25">
      <c r="AO626" s="62"/>
    </row>
    <row r="627" spans="41:41" x14ac:dyDescent="0.25">
      <c r="AO627" s="62"/>
    </row>
    <row r="628" spans="41:41" x14ac:dyDescent="0.25">
      <c r="AO628" s="62"/>
    </row>
    <row r="629" spans="41:41" x14ac:dyDescent="0.25">
      <c r="AO629" s="62"/>
    </row>
    <row r="630" spans="41:41" x14ac:dyDescent="0.25">
      <c r="AO630" s="62"/>
    </row>
    <row r="631" spans="41:41" x14ac:dyDescent="0.25">
      <c r="AO631" s="62"/>
    </row>
    <row r="632" spans="41:41" x14ac:dyDescent="0.25">
      <c r="AO632" s="62"/>
    </row>
    <row r="633" spans="41:41" x14ac:dyDescent="0.25">
      <c r="AO633" s="62"/>
    </row>
    <row r="634" spans="41:41" x14ac:dyDescent="0.25">
      <c r="AO634" s="62"/>
    </row>
    <row r="635" spans="41:41" x14ac:dyDescent="0.25">
      <c r="AO635" s="62"/>
    </row>
    <row r="636" spans="41:41" x14ac:dyDescent="0.25">
      <c r="AO636" s="62"/>
    </row>
    <row r="637" spans="41:41" x14ac:dyDescent="0.25">
      <c r="AO637" s="62"/>
    </row>
    <row r="638" spans="41:41" x14ac:dyDescent="0.25">
      <c r="AO638" s="62"/>
    </row>
    <row r="639" spans="41:41" x14ac:dyDescent="0.25">
      <c r="AO639" s="62"/>
    </row>
    <row r="640" spans="41:41" x14ac:dyDescent="0.25">
      <c r="AO640" s="62"/>
    </row>
    <row r="641" spans="41:41" x14ac:dyDescent="0.25">
      <c r="AO641" s="62"/>
    </row>
    <row r="642" spans="41:41" x14ac:dyDescent="0.25">
      <c r="AO642" s="62"/>
    </row>
    <row r="643" spans="41:41" x14ac:dyDescent="0.25">
      <c r="AO643" s="62"/>
    </row>
    <row r="644" spans="41:41" x14ac:dyDescent="0.25">
      <c r="AO644" s="62"/>
    </row>
    <row r="645" spans="41:41" x14ac:dyDescent="0.25">
      <c r="AO645" s="62"/>
    </row>
    <row r="646" spans="41:41" x14ac:dyDescent="0.25">
      <c r="AO646" s="62"/>
    </row>
    <row r="647" spans="41:41" x14ac:dyDescent="0.25">
      <c r="AO647" s="62"/>
    </row>
    <row r="648" spans="41:41" x14ac:dyDescent="0.25">
      <c r="AO648" s="62"/>
    </row>
    <row r="649" spans="41:41" x14ac:dyDescent="0.25">
      <c r="AO649" s="62"/>
    </row>
    <row r="650" spans="41:41" x14ac:dyDescent="0.25">
      <c r="AO650" s="62"/>
    </row>
    <row r="651" spans="41:41" x14ac:dyDescent="0.25">
      <c r="AO651" s="62"/>
    </row>
    <row r="652" spans="41:41" x14ac:dyDescent="0.25">
      <c r="AO652" s="62"/>
    </row>
    <row r="653" spans="41:41" x14ac:dyDescent="0.25">
      <c r="AO653" s="62"/>
    </row>
    <row r="654" spans="41:41" x14ac:dyDescent="0.25">
      <c r="AO654" s="62"/>
    </row>
    <row r="655" spans="41:41" x14ac:dyDescent="0.25">
      <c r="AO655" s="62"/>
    </row>
    <row r="656" spans="41:41" x14ac:dyDescent="0.25">
      <c r="AO656" s="62"/>
    </row>
    <row r="657" spans="41:41" x14ac:dyDescent="0.25">
      <c r="AO657" s="62"/>
    </row>
    <row r="658" spans="41:41" x14ac:dyDescent="0.25">
      <c r="AO658" s="62"/>
    </row>
    <row r="659" spans="41:41" x14ac:dyDescent="0.25">
      <c r="AO659" s="62"/>
    </row>
    <row r="660" spans="41:41" x14ac:dyDescent="0.25">
      <c r="AO660" s="62"/>
    </row>
    <row r="661" spans="41:41" x14ac:dyDescent="0.25">
      <c r="AO661" s="62"/>
    </row>
    <row r="662" spans="41:41" x14ac:dyDescent="0.25">
      <c r="AO662" s="62"/>
    </row>
    <row r="663" spans="41:41" x14ac:dyDescent="0.25">
      <c r="AO663" s="62"/>
    </row>
    <row r="664" spans="41:41" x14ac:dyDescent="0.25">
      <c r="AO664" s="62"/>
    </row>
    <row r="665" spans="41:41" x14ac:dyDescent="0.25">
      <c r="AO665" s="62"/>
    </row>
    <row r="666" spans="41:41" x14ac:dyDescent="0.25">
      <c r="AO666" s="62"/>
    </row>
    <row r="667" spans="41:41" x14ac:dyDescent="0.25">
      <c r="AO667" s="62"/>
    </row>
    <row r="668" spans="41:41" x14ac:dyDescent="0.25">
      <c r="AO668" s="62"/>
    </row>
    <row r="669" spans="41:41" x14ac:dyDescent="0.25">
      <c r="AO669" s="62"/>
    </row>
    <row r="670" spans="41:41" x14ac:dyDescent="0.25">
      <c r="AO670" s="62"/>
    </row>
    <row r="671" spans="41:41" x14ac:dyDescent="0.25">
      <c r="AO671" s="62"/>
    </row>
    <row r="672" spans="41:41" x14ac:dyDescent="0.25">
      <c r="AO672" s="62"/>
    </row>
    <row r="673" spans="41:41" x14ac:dyDescent="0.25">
      <c r="AO673" s="62"/>
    </row>
    <row r="674" spans="41:41" x14ac:dyDescent="0.25">
      <c r="AO674" s="62"/>
    </row>
    <row r="675" spans="41:41" x14ac:dyDescent="0.25">
      <c r="AO675" s="62"/>
    </row>
    <row r="676" spans="41:41" x14ac:dyDescent="0.25">
      <c r="AO676" s="62"/>
    </row>
    <row r="677" spans="41:41" x14ac:dyDescent="0.25">
      <c r="AO677" s="62"/>
    </row>
    <row r="678" spans="41:41" x14ac:dyDescent="0.25">
      <c r="AO678" s="62"/>
    </row>
    <row r="679" spans="41:41" x14ac:dyDescent="0.25">
      <c r="AO679" s="62"/>
    </row>
    <row r="680" spans="41:41" x14ac:dyDescent="0.25">
      <c r="AO680" s="62"/>
    </row>
    <row r="681" spans="41:41" x14ac:dyDescent="0.25">
      <c r="AO681" s="62"/>
    </row>
    <row r="682" spans="41:41" x14ac:dyDescent="0.25">
      <c r="AO682" s="62"/>
    </row>
    <row r="683" spans="41:41" x14ac:dyDescent="0.25">
      <c r="AO683" s="62"/>
    </row>
    <row r="684" spans="41:41" x14ac:dyDescent="0.25">
      <c r="AO684" s="62"/>
    </row>
    <row r="685" spans="41:41" x14ac:dyDescent="0.25">
      <c r="AO685" s="62"/>
    </row>
    <row r="686" spans="41:41" x14ac:dyDescent="0.25">
      <c r="AO686" s="62"/>
    </row>
    <row r="687" spans="41:41" x14ac:dyDescent="0.25">
      <c r="AO687" s="62"/>
    </row>
    <row r="688" spans="41:41" x14ac:dyDescent="0.25">
      <c r="AO688" s="62"/>
    </row>
    <row r="689" spans="41:41" x14ac:dyDescent="0.25">
      <c r="AO689" s="62"/>
    </row>
    <row r="690" spans="41:41" x14ac:dyDescent="0.25">
      <c r="AO690" s="62"/>
    </row>
    <row r="691" spans="41:41" x14ac:dyDescent="0.25">
      <c r="AO691" s="62"/>
    </row>
    <row r="692" spans="41:41" x14ac:dyDescent="0.25">
      <c r="AO692" s="62"/>
    </row>
    <row r="693" spans="41:41" x14ac:dyDescent="0.25">
      <c r="AO693" s="62"/>
    </row>
    <row r="694" spans="41:41" x14ac:dyDescent="0.25">
      <c r="AO694" s="62"/>
    </row>
    <row r="695" spans="41:41" x14ac:dyDescent="0.25">
      <c r="AO695" s="62"/>
    </row>
    <row r="696" spans="41:41" x14ac:dyDescent="0.25">
      <c r="AO696" s="62"/>
    </row>
    <row r="697" spans="41:41" x14ac:dyDescent="0.25">
      <c r="AO697" s="62"/>
    </row>
    <row r="698" spans="41:41" x14ac:dyDescent="0.25">
      <c r="AO698" s="62"/>
    </row>
    <row r="699" spans="41:41" x14ac:dyDescent="0.25">
      <c r="AO699" s="62"/>
    </row>
    <row r="700" spans="41:41" x14ac:dyDescent="0.25">
      <c r="AO700" s="62"/>
    </row>
    <row r="701" spans="41:41" x14ac:dyDescent="0.25">
      <c r="AO701" s="62"/>
    </row>
    <row r="702" spans="41:41" x14ac:dyDescent="0.25">
      <c r="AO702" s="62"/>
    </row>
    <row r="703" spans="41:41" x14ac:dyDescent="0.25">
      <c r="AO703" s="62"/>
    </row>
    <row r="704" spans="41:41" x14ac:dyDescent="0.25">
      <c r="AO704" s="62"/>
    </row>
    <row r="705" spans="41:41" x14ac:dyDescent="0.25">
      <c r="AO705" s="62"/>
    </row>
    <row r="706" spans="41:41" x14ac:dyDescent="0.25">
      <c r="AO706" s="62"/>
    </row>
    <row r="707" spans="41:41" x14ac:dyDescent="0.25">
      <c r="AO707" s="62"/>
    </row>
    <row r="708" spans="41:41" x14ac:dyDescent="0.25">
      <c r="AO708" s="62"/>
    </row>
    <row r="709" spans="41:41" x14ac:dyDescent="0.25">
      <c r="AO709" s="62"/>
    </row>
    <row r="710" spans="41:41" x14ac:dyDescent="0.25">
      <c r="AO710" s="62"/>
    </row>
    <row r="711" spans="41:41" x14ac:dyDescent="0.25">
      <c r="AO711" s="62"/>
    </row>
    <row r="712" spans="41:41" x14ac:dyDescent="0.25">
      <c r="AO712" s="62"/>
    </row>
    <row r="713" spans="41:41" x14ac:dyDescent="0.25">
      <c r="AO713" s="62"/>
    </row>
    <row r="714" spans="41:41" x14ac:dyDescent="0.25">
      <c r="AO714" s="62"/>
    </row>
    <row r="715" spans="41:41" x14ac:dyDescent="0.25">
      <c r="AO715" s="62"/>
    </row>
    <row r="716" spans="41:41" x14ac:dyDescent="0.25">
      <c r="AO716" s="62"/>
    </row>
    <row r="717" spans="41:41" x14ac:dyDescent="0.25">
      <c r="AO717" s="62"/>
    </row>
    <row r="718" spans="41:41" x14ac:dyDescent="0.25">
      <c r="AO718" s="62"/>
    </row>
    <row r="719" spans="41:41" x14ac:dyDescent="0.25">
      <c r="AO719" s="62"/>
    </row>
    <row r="720" spans="41:41" x14ac:dyDescent="0.25">
      <c r="AO720" s="62"/>
    </row>
    <row r="721" spans="41:41" x14ac:dyDescent="0.25">
      <c r="AO721" s="62"/>
    </row>
    <row r="722" spans="41:41" x14ac:dyDescent="0.25">
      <c r="AO722" s="62"/>
    </row>
    <row r="723" spans="41:41" x14ac:dyDescent="0.25">
      <c r="AO723" s="62"/>
    </row>
    <row r="724" spans="41:41" x14ac:dyDescent="0.25">
      <c r="AO724" s="62"/>
    </row>
    <row r="725" spans="41:41" x14ac:dyDescent="0.25">
      <c r="AO725" s="62"/>
    </row>
    <row r="726" spans="41:41" x14ac:dyDescent="0.25">
      <c r="AO726" s="62"/>
    </row>
    <row r="727" spans="41:41" x14ac:dyDescent="0.25">
      <c r="AO727" s="62"/>
    </row>
    <row r="728" spans="41:41" x14ac:dyDescent="0.25">
      <c r="AO728" s="62"/>
    </row>
    <row r="729" spans="41:41" x14ac:dyDescent="0.25">
      <c r="AO729" s="62"/>
    </row>
    <row r="730" spans="41:41" x14ac:dyDescent="0.25">
      <c r="AO730" s="62"/>
    </row>
    <row r="731" spans="41:41" x14ac:dyDescent="0.25">
      <c r="AO731" s="62"/>
    </row>
    <row r="732" spans="41:41" x14ac:dyDescent="0.25">
      <c r="AO732" s="62"/>
    </row>
    <row r="733" spans="41:41" x14ac:dyDescent="0.25">
      <c r="AO733" s="62"/>
    </row>
    <row r="734" spans="41:41" x14ac:dyDescent="0.25">
      <c r="AO734" s="62"/>
    </row>
    <row r="735" spans="41:41" x14ac:dyDescent="0.25">
      <c r="AO735" s="62"/>
    </row>
    <row r="736" spans="41:41" x14ac:dyDescent="0.25">
      <c r="AO736" s="62"/>
    </row>
    <row r="737" spans="41:41" x14ac:dyDescent="0.25">
      <c r="AO737" s="62"/>
    </row>
    <row r="738" spans="41:41" x14ac:dyDescent="0.25">
      <c r="AO738" s="62"/>
    </row>
    <row r="739" spans="41:41" x14ac:dyDescent="0.25">
      <c r="AO739" s="62"/>
    </row>
    <row r="740" spans="41:41" x14ac:dyDescent="0.25">
      <c r="AO740" s="62"/>
    </row>
    <row r="741" spans="41:41" x14ac:dyDescent="0.25">
      <c r="AO741" s="62"/>
    </row>
    <row r="742" spans="41:41" x14ac:dyDescent="0.25">
      <c r="AO742" s="62"/>
    </row>
    <row r="743" spans="41:41" x14ac:dyDescent="0.25">
      <c r="AO743" s="62"/>
    </row>
    <row r="744" spans="41:41" x14ac:dyDescent="0.25">
      <c r="AO744" s="62"/>
    </row>
    <row r="745" spans="41:41" x14ac:dyDescent="0.25">
      <c r="AO745" s="62"/>
    </row>
    <row r="746" spans="41:41" x14ac:dyDescent="0.25">
      <c r="AO746" s="62"/>
    </row>
    <row r="747" spans="41:41" x14ac:dyDescent="0.25">
      <c r="AO747" s="62"/>
    </row>
    <row r="748" spans="41:41" x14ac:dyDescent="0.25">
      <c r="AO748" s="62"/>
    </row>
    <row r="749" spans="41:41" x14ac:dyDescent="0.25">
      <c r="AO749" s="62"/>
    </row>
    <row r="750" spans="41:41" x14ac:dyDescent="0.25">
      <c r="AO750" s="62"/>
    </row>
    <row r="751" spans="41:41" x14ac:dyDescent="0.25">
      <c r="AO751" s="62"/>
    </row>
    <row r="752" spans="41:41" x14ac:dyDescent="0.25">
      <c r="AO752" s="62"/>
    </row>
    <row r="753" spans="41:41" x14ac:dyDescent="0.25">
      <c r="AO753" s="62"/>
    </row>
    <row r="754" spans="41:41" x14ac:dyDescent="0.25">
      <c r="AO754" s="62"/>
    </row>
    <row r="755" spans="41:41" x14ac:dyDescent="0.25">
      <c r="AO755" s="62"/>
    </row>
    <row r="756" spans="41:41" x14ac:dyDescent="0.25">
      <c r="AO756" s="62"/>
    </row>
    <row r="757" spans="41:41" x14ac:dyDescent="0.25">
      <c r="AO757" s="62"/>
    </row>
    <row r="758" spans="41:41" x14ac:dyDescent="0.25">
      <c r="AO758" s="62"/>
    </row>
    <row r="759" spans="41:41" x14ac:dyDescent="0.25">
      <c r="AO759" s="62"/>
    </row>
    <row r="760" spans="41:41" x14ac:dyDescent="0.25">
      <c r="AO760" s="62"/>
    </row>
    <row r="761" spans="41:41" x14ac:dyDescent="0.25">
      <c r="AO761" s="62"/>
    </row>
    <row r="762" spans="41:41" x14ac:dyDescent="0.25">
      <c r="AO762" s="62"/>
    </row>
    <row r="763" spans="41:41" x14ac:dyDescent="0.25">
      <c r="AO763" s="62"/>
    </row>
    <row r="764" spans="41:41" x14ac:dyDescent="0.25">
      <c r="AO764" s="62"/>
    </row>
    <row r="765" spans="41:41" x14ac:dyDescent="0.25">
      <c r="AO765" s="62"/>
    </row>
    <row r="766" spans="41:41" x14ac:dyDescent="0.25">
      <c r="AO766" s="62"/>
    </row>
    <row r="767" spans="41:41" x14ac:dyDescent="0.25">
      <c r="AO767" s="62"/>
    </row>
    <row r="768" spans="41:41" x14ac:dyDescent="0.25">
      <c r="AO768" s="62"/>
    </row>
    <row r="769" spans="41:41" x14ac:dyDescent="0.25">
      <c r="AO769" s="62"/>
    </row>
    <row r="770" spans="41:41" x14ac:dyDescent="0.25">
      <c r="AO770" s="62"/>
    </row>
    <row r="771" spans="41:41" x14ac:dyDescent="0.25">
      <c r="AO771" s="62"/>
    </row>
    <row r="772" spans="41:41" x14ac:dyDescent="0.25">
      <c r="AO772" s="62"/>
    </row>
    <row r="773" spans="41:41" x14ac:dyDescent="0.25">
      <c r="AO773" s="62"/>
    </row>
    <row r="774" spans="41:41" x14ac:dyDescent="0.25">
      <c r="AO774" s="62"/>
    </row>
    <row r="775" spans="41:41" x14ac:dyDescent="0.25">
      <c r="AO775" s="62"/>
    </row>
    <row r="776" spans="41:41" x14ac:dyDescent="0.25">
      <c r="AO776" s="62"/>
    </row>
    <row r="777" spans="41:41" x14ac:dyDescent="0.25">
      <c r="AO777" s="62"/>
    </row>
    <row r="778" spans="41:41" x14ac:dyDescent="0.25">
      <c r="AO778" s="62"/>
    </row>
    <row r="779" spans="41:41" x14ac:dyDescent="0.25">
      <c r="AO779" s="62"/>
    </row>
    <row r="780" spans="41:41" x14ac:dyDescent="0.25">
      <c r="AO780" s="62"/>
    </row>
    <row r="781" spans="41:41" x14ac:dyDescent="0.25">
      <c r="AO781" s="62"/>
    </row>
    <row r="782" spans="41:41" x14ac:dyDescent="0.25">
      <c r="AO782" s="62"/>
    </row>
    <row r="783" spans="41:41" x14ac:dyDescent="0.25">
      <c r="AO783" s="62"/>
    </row>
    <row r="784" spans="41:41" x14ac:dyDescent="0.25">
      <c r="AO784" s="62"/>
    </row>
    <row r="785" spans="41:41" x14ac:dyDescent="0.25">
      <c r="AO785" s="62"/>
    </row>
    <row r="786" spans="41:41" x14ac:dyDescent="0.25">
      <c r="AO786" s="62"/>
    </row>
    <row r="787" spans="41:41" x14ac:dyDescent="0.25">
      <c r="AO787" s="62"/>
    </row>
    <row r="788" spans="41:41" x14ac:dyDescent="0.25">
      <c r="AO788" s="62"/>
    </row>
    <row r="789" spans="41:41" x14ac:dyDescent="0.25">
      <c r="AO789" s="62"/>
    </row>
    <row r="790" spans="41:41" x14ac:dyDescent="0.25">
      <c r="AO790" s="62"/>
    </row>
    <row r="791" spans="41:41" x14ac:dyDescent="0.25">
      <c r="AO791" s="62"/>
    </row>
    <row r="792" spans="41:41" x14ac:dyDescent="0.25">
      <c r="AO792" s="62"/>
    </row>
    <row r="793" spans="41:41" x14ac:dyDescent="0.25">
      <c r="AO793" s="62"/>
    </row>
    <row r="794" spans="41:41" x14ac:dyDescent="0.25">
      <c r="AO794" s="62"/>
    </row>
    <row r="795" spans="41:41" x14ac:dyDescent="0.25">
      <c r="AO795" s="62"/>
    </row>
    <row r="796" spans="41:41" x14ac:dyDescent="0.25">
      <c r="AO796" s="62"/>
    </row>
    <row r="797" spans="41:41" x14ac:dyDescent="0.25">
      <c r="AO797" s="62"/>
    </row>
    <row r="798" spans="41:41" x14ac:dyDescent="0.25">
      <c r="AO798" s="62"/>
    </row>
    <row r="799" spans="41:41" x14ac:dyDescent="0.25">
      <c r="AO799" s="62"/>
    </row>
    <row r="800" spans="41:41" x14ac:dyDescent="0.25">
      <c r="AO800" s="62"/>
    </row>
    <row r="801" spans="41:41" x14ac:dyDescent="0.25">
      <c r="AO801" s="62"/>
    </row>
    <row r="802" spans="41:41" x14ac:dyDescent="0.25">
      <c r="AO802" s="62"/>
    </row>
    <row r="803" spans="41:41" x14ac:dyDescent="0.25">
      <c r="AO803" s="62"/>
    </row>
    <row r="804" spans="41:41" x14ac:dyDescent="0.25">
      <c r="AO804" s="62"/>
    </row>
    <row r="805" spans="41:41" x14ac:dyDescent="0.25">
      <c r="AO805" s="62"/>
    </row>
    <row r="806" spans="41:41" x14ac:dyDescent="0.25">
      <c r="AO806" s="62"/>
    </row>
    <row r="807" spans="41:41" x14ac:dyDescent="0.25">
      <c r="AO807" s="62"/>
    </row>
    <row r="808" spans="41:41" x14ac:dyDescent="0.25">
      <c r="AO808" s="62"/>
    </row>
    <row r="809" spans="41:41" x14ac:dyDescent="0.25">
      <c r="AO809" s="62"/>
    </row>
    <row r="810" spans="41:41" x14ac:dyDescent="0.25">
      <c r="AO810" s="62"/>
    </row>
    <row r="811" spans="41:41" x14ac:dyDescent="0.25">
      <c r="AO811" s="62"/>
    </row>
    <row r="812" spans="41:41" x14ac:dyDescent="0.25">
      <c r="AO812" s="62"/>
    </row>
    <row r="813" spans="41:41" x14ac:dyDescent="0.25">
      <c r="AO813" s="62"/>
    </row>
    <row r="814" spans="41:41" x14ac:dyDescent="0.25">
      <c r="AO814" s="62"/>
    </row>
    <row r="815" spans="41:41" x14ac:dyDescent="0.25">
      <c r="AO815" s="62"/>
    </row>
    <row r="816" spans="41:41" x14ac:dyDescent="0.25">
      <c r="AO816" s="62"/>
    </row>
    <row r="817" spans="41:41" x14ac:dyDescent="0.25">
      <c r="AO817" s="62"/>
    </row>
    <row r="818" spans="41:41" x14ac:dyDescent="0.25">
      <c r="AO818" s="62"/>
    </row>
    <row r="819" spans="41:41" x14ac:dyDescent="0.25">
      <c r="AO819" s="62"/>
    </row>
    <row r="820" spans="41:41" x14ac:dyDescent="0.25">
      <c r="AO820" s="62"/>
    </row>
    <row r="821" spans="41:41" x14ac:dyDescent="0.25">
      <c r="AO821" s="62"/>
    </row>
    <row r="822" spans="41:41" x14ac:dyDescent="0.25">
      <c r="AO822" s="62"/>
    </row>
    <row r="823" spans="41:41" x14ac:dyDescent="0.25">
      <c r="AO823" s="62"/>
    </row>
    <row r="824" spans="41:41" x14ac:dyDescent="0.25">
      <c r="AO824" s="62"/>
    </row>
    <row r="825" spans="41:41" x14ac:dyDescent="0.25">
      <c r="AO825" s="62"/>
    </row>
    <row r="826" spans="41:41" x14ac:dyDescent="0.25">
      <c r="AO826" s="62"/>
    </row>
    <row r="827" spans="41:41" x14ac:dyDescent="0.25">
      <c r="AO827" s="62"/>
    </row>
    <row r="828" spans="41:41" x14ac:dyDescent="0.25">
      <c r="AO828" s="62"/>
    </row>
    <row r="829" spans="41:41" x14ac:dyDescent="0.25">
      <c r="AO829" s="62"/>
    </row>
    <row r="830" spans="41:41" x14ac:dyDescent="0.25">
      <c r="AO830" s="62"/>
    </row>
    <row r="831" spans="41:41" x14ac:dyDescent="0.25">
      <c r="AO831" s="62"/>
    </row>
    <row r="832" spans="41:41" x14ac:dyDescent="0.25">
      <c r="AO832" s="62"/>
    </row>
    <row r="833" spans="41:41" x14ac:dyDescent="0.25">
      <c r="AO833" s="62"/>
    </row>
    <row r="834" spans="41:41" x14ac:dyDescent="0.25">
      <c r="AO834" s="62"/>
    </row>
    <row r="835" spans="41:41" x14ac:dyDescent="0.25">
      <c r="AO835" s="62"/>
    </row>
    <row r="836" spans="41:41" x14ac:dyDescent="0.25">
      <c r="AO836" s="62"/>
    </row>
    <row r="837" spans="41:41" x14ac:dyDescent="0.25">
      <c r="AO837" s="62"/>
    </row>
    <row r="838" spans="41:41" x14ac:dyDescent="0.25">
      <c r="AO838" s="62"/>
    </row>
    <row r="839" spans="41:41" x14ac:dyDescent="0.25">
      <c r="AO839" s="62"/>
    </row>
    <row r="840" spans="41:41" x14ac:dyDescent="0.25">
      <c r="AO840" s="62"/>
    </row>
    <row r="841" spans="41:41" x14ac:dyDescent="0.25">
      <c r="AO841" s="62"/>
    </row>
    <row r="842" spans="41:41" x14ac:dyDescent="0.25">
      <c r="AO842" s="62"/>
    </row>
    <row r="843" spans="41:41" x14ac:dyDescent="0.25">
      <c r="AO843" s="62"/>
    </row>
    <row r="844" spans="41:41" x14ac:dyDescent="0.25">
      <c r="AO844" s="62"/>
    </row>
    <row r="845" spans="41:41" x14ac:dyDescent="0.25">
      <c r="AO845" s="62"/>
    </row>
    <row r="846" spans="41:41" x14ac:dyDescent="0.25">
      <c r="AO846" s="62"/>
    </row>
    <row r="847" spans="41:41" x14ac:dyDescent="0.25">
      <c r="AO847" s="62"/>
    </row>
    <row r="848" spans="41:41" x14ac:dyDescent="0.25">
      <c r="AO848" s="62"/>
    </row>
    <row r="849" spans="41:41" x14ac:dyDescent="0.25">
      <c r="AO849" s="62"/>
    </row>
    <row r="850" spans="41:41" x14ac:dyDescent="0.25">
      <c r="AO850" s="62"/>
    </row>
    <row r="851" spans="41:41" x14ac:dyDescent="0.25">
      <c r="AO851" s="62"/>
    </row>
    <row r="852" spans="41:41" x14ac:dyDescent="0.25">
      <c r="AO852" s="62"/>
    </row>
    <row r="853" spans="41:41" x14ac:dyDescent="0.25">
      <c r="AO853" s="62"/>
    </row>
    <row r="854" spans="41:41" x14ac:dyDescent="0.25">
      <c r="AO854" s="62"/>
    </row>
    <row r="855" spans="41:41" x14ac:dyDescent="0.25">
      <c r="AO855" s="62"/>
    </row>
    <row r="856" spans="41:41" x14ac:dyDescent="0.25">
      <c r="AO856" s="62"/>
    </row>
    <row r="857" spans="41:41" x14ac:dyDescent="0.25">
      <c r="AO857" s="62"/>
    </row>
    <row r="858" spans="41:41" x14ac:dyDescent="0.25">
      <c r="AO858" s="62"/>
    </row>
    <row r="859" spans="41:41" x14ac:dyDescent="0.25">
      <c r="AO859" s="62"/>
    </row>
    <row r="860" spans="41:41" x14ac:dyDescent="0.25">
      <c r="AO860" s="62"/>
    </row>
    <row r="861" spans="41:41" x14ac:dyDescent="0.25">
      <c r="AO861" s="62"/>
    </row>
    <row r="862" spans="41:41" x14ac:dyDescent="0.25">
      <c r="AO862" s="62"/>
    </row>
    <row r="863" spans="41:41" x14ac:dyDescent="0.25">
      <c r="AO863" s="62"/>
    </row>
    <row r="864" spans="41:41" x14ac:dyDescent="0.25">
      <c r="AO864" s="62"/>
    </row>
    <row r="865" spans="41:41" x14ac:dyDescent="0.25">
      <c r="AO865" s="62"/>
    </row>
    <row r="866" spans="41:41" x14ac:dyDescent="0.25">
      <c r="AO866" s="62"/>
    </row>
    <row r="867" spans="41:41" x14ac:dyDescent="0.25">
      <c r="AO867" s="62"/>
    </row>
    <row r="868" spans="41:41" x14ac:dyDescent="0.25">
      <c r="AO868" s="62"/>
    </row>
    <row r="869" spans="41:41" x14ac:dyDescent="0.25">
      <c r="AO869" s="62"/>
    </row>
    <row r="870" spans="41:41" x14ac:dyDescent="0.25">
      <c r="AO870" s="62"/>
    </row>
    <row r="871" spans="41:41" x14ac:dyDescent="0.25">
      <c r="AO871" s="62"/>
    </row>
    <row r="872" spans="41:41" x14ac:dyDescent="0.25">
      <c r="AO872" s="62"/>
    </row>
    <row r="873" spans="41:41" x14ac:dyDescent="0.25">
      <c r="AO873" s="62"/>
    </row>
    <row r="874" spans="41:41" x14ac:dyDescent="0.25">
      <c r="AO874" s="62"/>
    </row>
    <row r="875" spans="41:41" x14ac:dyDescent="0.25">
      <c r="AO875" s="62"/>
    </row>
    <row r="876" spans="41:41" x14ac:dyDescent="0.25">
      <c r="AO876" s="62"/>
    </row>
    <row r="877" spans="41:41" x14ac:dyDescent="0.25">
      <c r="AO877" s="62"/>
    </row>
    <row r="878" spans="41:41" x14ac:dyDescent="0.25">
      <c r="AO878" s="62"/>
    </row>
    <row r="879" spans="41:41" x14ac:dyDescent="0.25">
      <c r="AO879" s="62"/>
    </row>
    <row r="880" spans="41:41" x14ac:dyDescent="0.25">
      <c r="AO880" s="62"/>
    </row>
    <row r="881" spans="41:41" x14ac:dyDescent="0.25">
      <c r="AO881" s="62"/>
    </row>
    <row r="882" spans="41:41" x14ac:dyDescent="0.25">
      <c r="AO882" s="62"/>
    </row>
    <row r="883" spans="41:41" x14ac:dyDescent="0.25">
      <c r="AO883" s="62"/>
    </row>
    <row r="884" spans="41:41" x14ac:dyDescent="0.25">
      <c r="AO884" s="62"/>
    </row>
    <row r="885" spans="41:41" x14ac:dyDescent="0.25">
      <c r="AO885" s="62"/>
    </row>
    <row r="886" spans="41:41" x14ac:dyDescent="0.25">
      <c r="AO886" s="62"/>
    </row>
    <row r="887" spans="41:41" x14ac:dyDescent="0.25">
      <c r="AO887" s="62"/>
    </row>
    <row r="888" spans="41:41" x14ac:dyDescent="0.25">
      <c r="AO888" s="62"/>
    </row>
    <row r="889" spans="41:41" x14ac:dyDescent="0.25">
      <c r="AO889" s="62"/>
    </row>
    <row r="890" spans="41:41" x14ac:dyDescent="0.25">
      <c r="AO890" s="62"/>
    </row>
    <row r="891" spans="41:41" x14ac:dyDescent="0.25">
      <c r="AO891" s="62"/>
    </row>
    <row r="892" spans="41:41" x14ac:dyDescent="0.25">
      <c r="AO892" s="62"/>
    </row>
    <row r="893" spans="41:41" x14ac:dyDescent="0.25">
      <c r="AO893" s="62"/>
    </row>
    <row r="894" spans="41:41" x14ac:dyDescent="0.25">
      <c r="AO894" s="62"/>
    </row>
    <row r="895" spans="41:41" x14ac:dyDescent="0.25">
      <c r="AO895" s="62"/>
    </row>
    <row r="896" spans="41:41" x14ac:dyDescent="0.25">
      <c r="AO896" s="62"/>
    </row>
    <row r="897" spans="41:41" x14ac:dyDescent="0.25">
      <c r="AO897" s="62"/>
    </row>
    <row r="898" spans="41:41" x14ac:dyDescent="0.25">
      <c r="AO898" s="62"/>
    </row>
    <row r="899" spans="41:41" x14ac:dyDescent="0.25">
      <c r="AO899" s="62"/>
    </row>
    <row r="900" spans="41:41" x14ac:dyDescent="0.25">
      <c r="AO900" s="62"/>
    </row>
    <row r="901" spans="41:41" x14ac:dyDescent="0.25">
      <c r="AO901" s="62"/>
    </row>
    <row r="902" spans="41:41" x14ac:dyDescent="0.25">
      <c r="AO902" s="62"/>
    </row>
    <row r="903" spans="41:41" x14ac:dyDescent="0.25">
      <c r="AO903" s="62"/>
    </row>
    <row r="904" spans="41:41" x14ac:dyDescent="0.25">
      <c r="AO904" s="62"/>
    </row>
    <row r="905" spans="41:41" x14ac:dyDescent="0.25">
      <c r="AO905" s="62"/>
    </row>
    <row r="906" spans="41:41" x14ac:dyDescent="0.25">
      <c r="AO906" s="62"/>
    </row>
    <row r="907" spans="41:41" x14ac:dyDescent="0.25">
      <c r="AO907" s="62"/>
    </row>
    <row r="908" spans="41:41" x14ac:dyDescent="0.25">
      <c r="AO908" s="62"/>
    </row>
    <row r="909" spans="41:41" x14ac:dyDescent="0.25">
      <c r="AO909" s="62"/>
    </row>
    <row r="910" spans="41:41" x14ac:dyDescent="0.25">
      <c r="AO910" s="62"/>
    </row>
    <row r="911" spans="41:41" x14ac:dyDescent="0.25">
      <c r="AO911" s="62"/>
    </row>
    <row r="912" spans="41:41" x14ac:dyDescent="0.25">
      <c r="AO912" s="62"/>
    </row>
    <row r="913" spans="41:41" x14ac:dyDescent="0.25">
      <c r="AO913" s="62"/>
    </row>
    <row r="914" spans="41:41" x14ac:dyDescent="0.25">
      <c r="AO914" s="62"/>
    </row>
    <row r="915" spans="41:41" x14ac:dyDescent="0.25">
      <c r="AO915" s="62"/>
    </row>
    <row r="916" spans="41:41" x14ac:dyDescent="0.25">
      <c r="AO916" s="62"/>
    </row>
    <row r="917" spans="41:41" x14ac:dyDescent="0.25">
      <c r="AO917" s="62"/>
    </row>
    <row r="918" spans="41:41" x14ac:dyDescent="0.25">
      <c r="AO918" s="62"/>
    </row>
    <row r="919" spans="41:41" x14ac:dyDescent="0.25">
      <c r="AO919" s="62"/>
    </row>
    <row r="920" spans="41:41" x14ac:dyDescent="0.25">
      <c r="AO920" s="62"/>
    </row>
    <row r="921" spans="41:41" x14ac:dyDescent="0.25">
      <c r="AO921" s="62"/>
    </row>
    <row r="922" spans="41:41" x14ac:dyDescent="0.25">
      <c r="AO922" s="62"/>
    </row>
    <row r="923" spans="41:41" x14ac:dyDescent="0.25">
      <c r="AO923" s="62"/>
    </row>
    <row r="924" spans="41:41" x14ac:dyDescent="0.25">
      <c r="AO924" s="62"/>
    </row>
    <row r="925" spans="41:41" x14ac:dyDescent="0.25">
      <c r="AO925" s="62"/>
    </row>
    <row r="926" spans="41:41" x14ac:dyDescent="0.25">
      <c r="AO926" s="62"/>
    </row>
    <row r="927" spans="41:41" x14ac:dyDescent="0.25">
      <c r="AO927" s="62"/>
    </row>
    <row r="928" spans="41:41" x14ac:dyDescent="0.25">
      <c r="AO928" s="62"/>
    </row>
    <row r="929" spans="41:41" x14ac:dyDescent="0.25">
      <c r="AO929" s="62"/>
    </row>
    <row r="930" spans="41:41" x14ac:dyDescent="0.25">
      <c r="AO930" s="62"/>
    </row>
    <row r="931" spans="41:41" x14ac:dyDescent="0.25">
      <c r="AO931" s="62"/>
    </row>
    <row r="932" spans="41:41" x14ac:dyDescent="0.25">
      <c r="AO932" s="62"/>
    </row>
    <row r="933" spans="41:41" x14ac:dyDescent="0.25">
      <c r="AO933" s="62"/>
    </row>
    <row r="934" spans="41:41" x14ac:dyDescent="0.25">
      <c r="AO934" s="62"/>
    </row>
    <row r="935" spans="41:41" x14ac:dyDescent="0.25">
      <c r="AO935" s="62"/>
    </row>
    <row r="936" spans="41:41" x14ac:dyDescent="0.25">
      <c r="AO936" s="62"/>
    </row>
    <row r="937" spans="41:41" x14ac:dyDescent="0.25">
      <c r="AO937" s="62"/>
    </row>
    <row r="938" spans="41:41" x14ac:dyDescent="0.25">
      <c r="AO938" s="62"/>
    </row>
    <row r="939" spans="41:41" x14ac:dyDescent="0.25">
      <c r="AO939" s="62"/>
    </row>
    <row r="940" spans="41:41" x14ac:dyDescent="0.25">
      <c r="AO940" s="62"/>
    </row>
    <row r="941" spans="41:41" x14ac:dyDescent="0.25">
      <c r="AO941" s="62"/>
    </row>
    <row r="942" spans="41:41" x14ac:dyDescent="0.25">
      <c r="AO942" s="62"/>
    </row>
    <row r="943" spans="41:41" x14ac:dyDescent="0.25">
      <c r="AO943" s="62"/>
    </row>
    <row r="944" spans="41:41" x14ac:dyDescent="0.25">
      <c r="AO944" s="62"/>
    </row>
    <row r="945" spans="41:41" x14ac:dyDescent="0.25">
      <c r="AO945" s="62"/>
    </row>
    <row r="946" spans="41:41" x14ac:dyDescent="0.25">
      <c r="AO946" s="62"/>
    </row>
    <row r="947" spans="41:41" x14ac:dyDescent="0.25">
      <c r="AO947" s="62"/>
    </row>
    <row r="948" spans="41:41" x14ac:dyDescent="0.25">
      <c r="AO948" s="62"/>
    </row>
    <row r="949" spans="41:41" x14ac:dyDescent="0.25">
      <c r="AO949" s="62"/>
    </row>
    <row r="950" spans="41:41" x14ac:dyDescent="0.25">
      <c r="AO950" s="62"/>
    </row>
    <row r="951" spans="41:41" x14ac:dyDescent="0.25">
      <c r="AO951" s="62"/>
    </row>
    <row r="952" spans="41:41" x14ac:dyDescent="0.25">
      <c r="AO952" s="62"/>
    </row>
    <row r="953" spans="41:41" x14ac:dyDescent="0.25">
      <c r="AO953" s="62"/>
    </row>
    <row r="954" spans="41:41" x14ac:dyDescent="0.25">
      <c r="AO954" s="62"/>
    </row>
    <row r="955" spans="41:41" x14ac:dyDescent="0.25">
      <c r="AO955" s="62"/>
    </row>
    <row r="956" spans="41:41" x14ac:dyDescent="0.25">
      <c r="AO956" s="62"/>
    </row>
    <row r="957" spans="41:41" x14ac:dyDescent="0.25">
      <c r="AO957" s="62"/>
    </row>
    <row r="958" spans="41:41" x14ac:dyDescent="0.25">
      <c r="AO958" s="62"/>
    </row>
    <row r="959" spans="41:41" x14ac:dyDescent="0.25">
      <c r="AO959" s="62"/>
    </row>
    <row r="960" spans="41:41" x14ac:dyDescent="0.25">
      <c r="AO960" s="62"/>
    </row>
    <row r="961" spans="41:41" x14ac:dyDescent="0.25">
      <c r="AO961" s="62"/>
    </row>
    <row r="962" spans="41:41" x14ac:dyDescent="0.25">
      <c r="AO962" s="62"/>
    </row>
    <row r="963" spans="41:41" x14ac:dyDescent="0.25">
      <c r="AO963" s="62"/>
    </row>
    <row r="964" spans="41:41" x14ac:dyDescent="0.25">
      <c r="AO964" s="62"/>
    </row>
    <row r="965" spans="41:41" x14ac:dyDescent="0.25">
      <c r="AO965" s="62"/>
    </row>
    <row r="966" spans="41:41" x14ac:dyDescent="0.25">
      <c r="AO966" s="62"/>
    </row>
    <row r="967" spans="41:41" x14ac:dyDescent="0.25">
      <c r="AO967" s="62"/>
    </row>
    <row r="968" spans="41:41" x14ac:dyDescent="0.25">
      <c r="AO968" s="62"/>
    </row>
    <row r="969" spans="41:41" x14ac:dyDescent="0.25">
      <c r="AO969" s="62"/>
    </row>
    <row r="970" spans="41:41" x14ac:dyDescent="0.25">
      <c r="AO970" s="62"/>
    </row>
    <row r="971" spans="41:41" x14ac:dyDescent="0.25">
      <c r="AO971" s="62"/>
    </row>
    <row r="972" spans="41:41" x14ac:dyDescent="0.25">
      <c r="AO972" s="62"/>
    </row>
    <row r="973" spans="41:41" x14ac:dyDescent="0.25">
      <c r="AO973" s="62"/>
    </row>
    <row r="974" spans="41:41" x14ac:dyDescent="0.25">
      <c r="AO974" s="62"/>
    </row>
    <row r="975" spans="41:41" x14ac:dyDescent="0.25">
      <c r="AO975" s="62"/>
    </row>
    <row r="976" spans="41:41" x14ac:dyDescent="0.25">
      <c r="AO976" s="62"/>
    </row>
    <row r="977" spans="41:41" x14ac:dyDescent="0.25">
      <c r="AO977" s="62"/>
    </row>
    <row r="978" spans="41:41" x14ac:dyDescent="0.25">
      <c r="AO978" s="62"/>
    </row>
    <row r="979" spans="41:41" x14ac:dyDescent="0.25">
      <c r="AO979" s="62"/>
    </row>
    <row r="980" spans="41:41" x14ac:dyDescent="0.25">
      <c r="AO980" s="62"/>
    </row>
    <row r="981" spans="41:41" x14ac:dyDescent="0.25">
      <c r="AO981" s="62"/>
    </row>
    <row r="982" spans="41:41" x14ac:dyDescent="0.25">
      <c r="AO982" s="62"/>
    </row>
    <row r="983" spans="41:41" x14ac:dyDescent="0.25">
      <c r="AO983" s="62"/>
    </row>
    <row r="984" spans="41:41" x14ac:dyDescent="0.25">
      <c r="AO984" s="62"/>
    </row>
    <row r="985" spans="41:41" x14ac:dyDescent="0.25">
      <c r="AO985" s="62"/>
    </row>
    <row r="986" spans="41:41" x14ac:dyDescent="0.25">
      <c r="AO986" s="62"/>
    </row>
    <row r="987" spans="41:41" x14ac:dyDescent="0.25">
      <c r="AO987" s="62"/>
    </row>
    <row r="988" spans="41:41" x14ac:dyDescent="0.25">
      <c r="AO988" s="62"/>
    </row>
    <row r="989" spans="41:41" x14ac:dyDescent="0.25">
      <c r="AO989" s="62"/>
    </row>
    <row r="990" spans="41:41" x14ac:dyDescent="0.25">
      <c r="AO990" s="62"/>
    </row>
    <row r="991" spans="41:41" x14ac:dyDescent="0.25">
      <c r="AO991" s="62"/>
    </row>
    <row r="992" spans="41:41" x14ac:dyDescent="0.25">
      <c r="AO992" s="62"/>
    </row>
    <row r="993" spans="41:41" x14ac:dyDescent="0.25">
      <c r="AO993" s="62"/>
    </row>
    <row r="994" spans="41:41" x14ac:dyDescent="0.25">
      <c r="AO994" s="62"/>
    </row>
    <row r="995" spans="41:41" x14ac:dyDescent="0.25">
      <c r="AO995" s="62"/>
    </row>
    <row r="996" spans="41:41" x14ac:dyDescent="0.25">
      <c r="AO996" s="62"/>
    </row>
    <row r="997" spans="41:41" x14ac:dyDescent="0.25">
      <c r="AO997" s="62"/>
    </row>
    <row r="998" spans="41:41" x14ac:dyDescent="0.25">
      <c r="AO998" s="62"/>
    </row>
    <row r="999" spans="41:41" x14ac:dyDescent="0.25">
      <c r="AO999" s="62"/>
    </row>
    <row r="1000" spans="41:41" x14ac:dyDescent="0.25">
      <c r="AO1000" s="62"/>
    </row>
    <row r="1001" spans="41:41" x14ac:dyDescent="0.25">
      <c r="AO1001" s="62"/>
    </row>
    <row r="1002" spans="41:41" x14ac:dyDescent="0.25">
      <c r="AO1002" s="62"/>
    </row>
    <row r="1003" spans="41:41" x14ac:dyDescent="0.25">
      <c r="AO1003" s="62"/>
    </row>
    <row r="1004" spans="41:41" x14ac:dyDescent="0.25">
      <c r="AO1004" s="62"/>
    </row>
    <row r="1005" spans="41:41" x14ac:dyDescent="0.25">
      <c r="AO1005" s="62"/>
    </row>
    <row r="1006" spans="41:41" x14ac:dyDescent="0.25">
      <c r="AO1006" s="62"/>
    </row>
    <row r="1007" spans="41:41" x14ac:dyDescent="0.25">
      <c r="AO1007" s="62"/>
    </row>
    <row r="1008" spans="41:41" x14ac:dyDescent="0.25">
      <c r="AO1008" s="62"/>
    </row>
    <row r="1009" spans="41:41" x14ac:dyDescent="0.25">
      <c r="AO1009" s="62"/>
    </row>
    <row r="1010" spans="41:41" x14ac:dyDescent="0.25">
      <c r="AO1010" s="62"/>
    </row>
    <row r="1011" spans="41:41" x14ac:dyDescent="0.25">
      <c r="AO1011" s="62"/>
    </row>
    <row r="1012" spans="41:41" x14ac:dyDescent="0.25">
      <c r="AO1012" s="62"/>
    </row>
    <row r="1013" spans="41:41" x14ac:dyDescent="0.25">
      <c r="AO1013" s="62"/>
    </row>
    <row r="1014" spans="41:41" x14ac:dyDescent="0.25">
      <c r="AO1014" s="62"/>
    </row>
    <row r="1015" spans="41:41" x14ac:dyDescent="0.25">
      <c r="AO1015" s="62"/>
    </row>
    <row r="1016" spans="41:41" x14ac:dyDescent="0.25">
      <c r="AO1016" s="62"/>
    </row>
    <row r="1017" spans="41:41" x14ac:dyDescent="0.25">
      <c r="AO1017" s="62"/>
    </row>
    <row r="1018" spans="41:41" x14ac:dyDescent="0.25">
      <c r="AO1018" s="62"/>
    </row>
    <row r="1019" spans="41:41" x14ac:dyDescent="0.25">
      <c r="AO1019" s="62"/>
    </row>
    <row r="1020" spans="41:41" x14ac:dyDescent="0.25">
      <c r="AO1020" s="62"/>
    </row>
    <row r="1021" spans="41:41" x14ac:dyDescent="0.25">
      <c r="AO1021" s="62"/>
    </row>
    <row r="1022" spans="41:41" x14ac:dyDescent="0.25">
      <c r="AO1022" s="62"/>
    </row>
    <row r="1023" spans="41:41" x14ac:dyDescent="0.25">
      <c r="AO1023" s="62"/>
    </row>
    <row r="1024" spans="41:41" x14ac:dyDescent="0.25">
      <c r="AO1024" s="62"/>
    </row>
    <row r="1025" spans="41:41" x14ac:dyDescent="0.25">
      <c r="AO1025" s="62"/>
    </row>
    <row r="1026" spans="41:41" x14ac:dyDescent="0.25">
      <c r="AO1026" s="62"/>
    </row>
    <row r="1027" spans="41:41" x14ac:dyDescent="0.25">
      <c r="AO1027" s="62"/>
    </row>
    <row r="1028" spans="41:41" x14ac:dyDescent="0.25">
      <c r="AO1028" s="62"/>
    </row>
    <row r="1029" spans="41:41" x14ac:dyDescent="0.25">
      <c r="AO1029" s="62"/>
    </row>
    <row r="1030" spans="41:41" x14ac:dyDescent="0.25">
      <c r="AO1030" s="62"/>
    </row>
    <row r="1031" spans="41:41" x14ac:dyDescent="0.25">
      <c r="AO1031" s="62"/>
    </row>
    <row r="1032" spans="41:41" x14ac:dyDescent="0.25">
      <c r="AO1032" s="62"/>
    </row>
    <row r="1033" spans="41:41" x14ac:dyDescent="0.25">
      <c r="AO1033" s="62"/>
    </row>
    <row r="1034" spans="41:41" x14ac:dyDescent="0.25">
      <c r="AO1034" s="62"/>
    </row>
    <row r="1035" spans="41:41" x14ac:dyDescent="0.25">
      <c r="AO1035" s="62"/>
    </row>
    <row r="1036" spans="41:41" x14ac:dyDescent="0.25">
      <c r="AO1036" s="62"/>
    </row>
    <row r="1037" spans="41:41" x14ac:dyDescent="0.25">
      <c r="AO1037" s="62"/>
    </row>
    <row r="1038" spans="41:41" x14ac:dyDescent="0.25">
      <c r="AO1038" s="62"/>
    </row>
    <row r="1039" spans="41:41" x14ac:dyDescent="0.25">
      <c r="AO1039" s="62"/>
    </row>
    <row r="1040" spans="41:41" x14ac:dyDescent="0.25">
      <c r="AO1040" s="62"/>
    </row>
    <row r="1041" spans="41:41" x14ac:dyDescent="0.25">
      <c r="AO1041" s="62"/>
    </row>
    <row r="1042" spans="41:41" x14ac:dyDescent="0.25">
      <c r="AO1042" s="62"/>
    </row>
    <row r="1043" spans="41:41" x14ac:dyDescent="0.25">
      <c r="AO1043" s="62"/>
    </row>
    <row r="1044" spans="41:41" x14ac:dyDescent="0.25">
      <c r="AO1044" s="62"/>
    </row>
    <row r="1045" spans="41:41" x14ac:dyDescent="0.25">
      <c r="AO1045" s="62"/>
    </row>
    <row r="1046" spans="41:41" x14ac:dyDescent="0.25">
      <c r="AO1046" s="62"/>
    </row>
    <row r="1047" spans="41:41" x14ac:dyDescent="0.25">
      <c r="AO1047" s="62"/>
    </row>
    <row r="1048" spans="41:41" x14ac:dyDescent="0.25">
      <c r="AO1048" s="62"/>
    </row>
    <row r="1049" spans="41:41" x14ac:dyDescent="0.25">
      <c r="AO1049" s="62"/>
    </row>
    <row r="1050" spans="41:41" x14ac:dyDescent="0.25">
      <c r="AO1050" s="62"/>
    </row>
    <row r="1051" spans="41:41" x14ac:dyDescent="0.25">
      <c r="AO1051" s="62"/>
    </row>
    <row r="1052" spans="41:41" x14ac:dyDescent="0.25">
      <c r="AO1052" s="62"/>
    </row>
    <row r="1053" spans="41:41" x14ac:dyDescent="0.25">
      <c r="AO1053" s="62"/>
    </row>
    <row r="1054" spans="41:41" x14ac:dyDescent="0.25">
      <c r="AO1054" s="62"/>
    </row>
    <row r="1055" spans="41:41" x14ac:dyDescent="0.25">
      <c r="AO1055" s="62"/>
    </row>
    <row r="1056" spans="41:41" x14ac:dyDescent="0.25">
      <c r="AO1056" s="62"/>
    </row>
    <row r="1057" spans="41:41" x14ac:dyDescent="0.25">
      <c r="AO1057" s="62"/>
    </row>
    <row r="1058" spans="41:41" x14ac:dyDescent="0.25">
      <c r="AO1058" s="62"/>
    </row>
    <row r="1059" spans="41:41" x14ac:dyDescent="0.25">
      <c r="AO1059" s="62"/>
    </row>
    <row r="1060" spans="41:41" x14ac:dyDescent="0.25">
      <c r="AO1060" s="62"/>
    </row>
    <row r="1061" spans="41:41" x14ac:dyDescent="0.25">
      <c r="AO1061" s="62"/>
    </row>
    <row r="1062" spans="41:41" x14ac:dyDescent="0.25">
      <c r="AO1062" s="62"/>
    </row>
    <row r="1063" spans="41:41" x14ac:dyDescent="0.25">
      <c r="AO1063" s="62"/>
    </row>
    <row r="1064" spans="41:41" x14ac:dyDescent="0.25">
      <c r="AO1064" s="62"/>
    </row>
    <row r="1065" spans="41:41" x14ac:dyDescent="0.25">
      <c r="AO1065" s="62"/>
    </row>
    <row r="1066" spans="41:41" x14ac:dyDescent="0.25">
      <c r="AO1066" s="62"/>
    </row>
    <row r="1067" spans="41:41" x14ac:dyDescent="0.25">
      <c r="AO1067" s="62"/>
    </row>
    <row r="1068" spans="41:41" x14ac:dyDescent="0.25">
      <c r="AO1068" s="62"/>
    </row>
    <row r="1069" spans="41:41" x14ac:dyDescent="0.25">
      <c r="AO1069" s="62"/>
    </row>
    <row r="1070" spans="41:41" x14ac:dyDescent="0.25">
      <c r="AO1070" s="62"/>
    </row>
    <row r="1071" spans="41:41" x14ac:dyDescent="0.25">
      <c r="AO1071" s="62"/>
    </row>
    <row r="1072" spans="41:41" x14ac:dyDescent="0.25">
      <c r="AO1072" s="62"/>
    </row>
    <row r="1073" spans="41:41" x14ac:dyDescent="0.25">
      <c r="AO1073" s="62"/>
    </row>
    <row r="1074" spans="41:41" x14ac:dyDescent="0.25">
      <c r="AO1074" s="62"/>
    </row>
    <row r="1075" spans="41:41" x14ac:dyDescent="0.25">
      <c r="AO1075" s="62"/>
    </row>
    <row r="1076" spans="41:41" x14ac:dyDescent="0.25">
      <c r="AO1076" s="62"/>
    </row>
    <row r="1077" spans="41:41" x14ac:dyDescent="0.25">
      <c r="AO1077" s="62"/>
    </row>
    <row r="1078" spans="41:41" x14ac:dyDescent="0.25">
      <c r="AO1078" s="62"/>
    </row>
    <row r="1079" spans="41:41" x14ac:dyDescent="0.25">
      <c r="AO1079" s="62"/>
    </row>
    <row r="1080" spans="41:41" x14ac:dyDescent="0.25">
      <c r="AO1080" s="62"/>
    </row>
    <row r="1081" spans="41:41" x14ac:dyDescent="0.25">
      <c r="AO1081" s="62"/>
    </row>
    <row r="1082" spans="41:41" x14ac:dyDescent="0.25">
      <c r="AO1082" s="62"/>
    </row>
    <row r="1083" spans="41:41" x14ac:dyDescent="0.25">
      <c r="AO1083" s="62"/>
    </row>
    <row r="1084" spans="41:41" x14ac:dyDescent="0.25">
      <c r="AO1084" s="62"/>
    </row>
    <row r="1085" spans="41:41" x14ac:dyDescent="0.25">
      <c r="AO1085" s="62"/>
    </row>
    <row r="1086" spans="41:41" x14ac:dyDescent="0.25">
      <c r="AO1086" s="62"/>
    </row>
    <row r="1087" spans="41:41" x14ac:dyDescent="0.25">
      <c r="AO1087" s="62"/>
    </row>
    <row r="1088" spans="41:41" x14ac:dyDescent="0.25">
      <c r="AO1088" s="62"/>
    </row>
    <row r="1089" spans="41:41" x14ac:dyDescent="0.25">
      <c r="AO1089" s="62"/>
    </row>
    <row r="1090" spans="41:41" x14ac:dyDescent="0.25">
      <c r="AO1090" s="62"/>
    </row>
    <row r="1091" spans="41:41" x14ac:dyDescent="0.25">
      <c r="AO1091" s="62"/>
    </row>
    <row r="1092" spans="41:41" x14ac:dyDescent="0.25">
      <c r="AO1092" s="62"/>
    </row>
    <row r="1093" spans="41:41" x14ac:dyDescent="0.25">
      <c r="AO1093" s="62"/>
    </row>
    <row r="1094" spans="41:41" x14ac:dyDescent="0.25">
      <c r="AO1094" s="62"/>
    </row>
    <row r="1095" spans="41:41" x14ac:dyDescent="0.25">
      <c r="AO1095" s="62"/>
    </row>
    <row r="1096" spans="41:41" x14ac:dyDescent="0.25">
      <c r="AO1096" s="62"/>
    </row>
    <row r="1097" spans="41:41" x14ac:dyDescent="0.25">
      <c r="AO1097" s="62"/>
    </row>
    <row r="1098" spans="41:41" x14ac:dyDescent="0.25">
      <c r="AO1098" s="62"/>
    </row>
    <row r="1099" spans="41:41" x14ac:dyDescent="0.25">
      <c r="AO1099" s="62"/>
    </row>
    <row r="1100" spans="41:41" x14ac:dyDescent="0.25">
      <c r="AO1100" s="62"/>
    </row>
    <row r="1101" spans="41:41" x14ac:dyDescent="0.25">
      <c r="AO1101" s="62"/>
    </row>
    <row r="1102" spans="41:41" x14ac:dyDescent="0.25">
      <c r="AO1102" s="62"/>
    </row>
    <row r="1103" spans="41:41" x14ac:dyDescent="0.25">
      <c r="AO1103" s="62"/>
    </row>
    <row r="1104" spans="41:41" x14ac:dyDescent="0.25">
      <c r="AO1104" s="62"/>
    </row>
    <row r="1105" spans="41:41" x14ac:dyDescent="0.25">
      <c r="AO1105" s="62"/>
    </row>
    <row r="1106" spans="41:41" x14ac:dyDescent="0.25">
      <c r="AO1106" s="62"/>
    </row>
    <row r="1107" spans="41:41" x14ac:dyDescent="0.25">
      <c r="AO1107" s="62"/>
    </row>
    <row r="1108" spans="41:41" x14ac:dyDescent="0.25">
      <c r="AO1108" s="62"/>
    </row>
    <row r="1109" spans="41:41" x14ac:dyDescent="0.25">
      <c r="AO1109" s="62"/>
    </row>
    <row r="1110" spans="41:41" x14ac:dyDescent="0.25">
      <c r="AO1110" s="62"/>
    </row>
    <row r="1111" spans="41:41" x14ac:dyDescent="0.25">
      <c r="AO1111" s="62"/>
    </row>
    <row r="1112" spans="41:41" x14ac:dyDescent="0.25">
      <c r="AO1112" s="62"/>
    </row>
    <row r="1113" spans="41:41" x14ac:dyDescent="0.25">
      <c r="AO1113" s="62"/>
    </row>
    <row r="1114" spans="41:41" x14ac:dyDescent="0.25">
      <c r="AO1114" s="62"/>
    </row>
    <row r="1115" spans="41:41" x14ac:dyDescent="0.25">
      <c r="AO1115" s="62"/>
    </row>
    <row r="1116" spans="41:41" x14ac:dyDescent="0.25">
      <c r="AO1116" s="62"/>
    </row>
    <row r="1117" spans="41:41" x14ac:dyDescent="0.25">
      <c r="AO1117" s="62"/>
    </row>
    <row r="1118" spans="41:41" x14ac:dyDescent="0.25">
      <c r="AO1118" s="62"/>
    </row>
    <row r="1119" spans="41:41" x14ac:dyDescent="0.25">
      <c r="AO1119" s="62"/>
    </row>
    <row r="1120" spans="41:41" x14ac:dyDescent="0.25">
      <c r="AO1120" s="62"/>
    </row>
    <row r="1121" spans="41:41" x14ac:dyDescent="0.25">
      <c r="AO1121" s="62"/>
    </row>
    <row r="1122" spans="41:41" x14ac:dyDescent="0.25">
      <c r="AO1122" s="62"/>
    </row>
    <row r="1123" spans="41:41" x14ac:dyDescent="0.25">
      <c r="AO1123" s="62"/>
    </row>
    <row r="1124" spans="41:41" x14ac:dyDescent="0.25">
      <c r="AO1124" s="62"/>
    </row>
    <row r="1125" spans="41:41" x14ac:dyDescent="0.25">
      <c r="AO1125" s="62"/>
    </row>
    <row r="1126" spans="41:41" x14ac:dyDescent="0.25">
      <c r="AO1126" s="62"/>
    </row>
    <row r="1127" spans="41:41" x14ac:dyDescent="0.25">
      <c r="AO1127" s="62"/>
    </row>
    <row r="1128" spans="41:41" x14ac:dyDescent="0.25">
      <c r="AO1128" s="62"/>
    </row>
    <row r="1129" spans="41:41" x14ac:dyDescent="0.25">
      <c r="AO1129" s="62"/>
    </row>
    <row r="1130" spans="41:41" x14ac:dyDescent="0.25">
      <c r="AO1130" s="62"/>
    </row>
    <row r="1131" spans="41:41" x14ac:dyDescent="0.25">
      <c r="AO1131" s="62"/>
    </row>
    <row r="1132" spans="41:41" x14ac:dyDescent="0.25">
      <c r="AO1132" s="62"/>
    </row>
    <row r="1133" spans="41:41" x14ac:dyDescent="0.25">
      <c r="AO1133" s="62"/>
    </row>
    <row r="1134" spans="41:41" x14ac:dyDescent="0.25">
      <c r="AO1134" s="62"/>
    </row>
    <row r="1135" spans="41:41" x14ac:dyDescent="0.25">
      <c r="AO1135" s="62"/>
    </row>
    <row r="1136" spans="41:41" x14ac:dyDescent="0.25">
      <c r="AO1136" s="62"/>
    </row>
    <row r="1137" spans="41:41" x14ac:dyDescent="0.25">
      <c r="AO1137" s="62"/>
    </row>
    <row r="1138" spans="41:41" x14ac:dyDescent="0.25">
      <c r="AO1138" s="62"/>
    </row>
    <row r="1139" spans="41:41" x14ac:dyDescent="0.25">
      <c r="AO1139" s="62"/>
    </row>
    <row r="1140" spans="41:41" x14ac:dyDescent="0.25">
      <c r="AO1140" s="62"/>
    </row>
    <row r="1141" spans="41:41" x14ac:dyDescent="0.25">
      <c r="AO1141" s="62"/>
    </row>
    <row r="1142" spans="41:41" x14ac:dyDescent="0.25">
      <c r="AO1142" s="62"/>
    </row>
    <row r="1143" spans="41:41" x14ac:dyDescent="0.25">
      <c r="AO1143" s="62"/>
    </row>
    <row r="1144" spans="41:41" x14ac:dyDescent="0.25">
      <c r="AO1144" s="62"/>
    </row>
    <row r="1145" spans="41:41" x14ac:dyDescent="0.25">
      <c r="AO1145" s="62"/>
    </row>
    <row r="1146" spans="41:41" x14ac:dyDescent="0.25">
      <c r="AO1146" s="62"/>
    </row>
    <row r="1147" spans="41:41" x14ac:dyDescent="0.25">
      <c r="AO1147" s="62"/>
    </row>
    <row r="1148" spans="41:41" x14ac:dyDescent="0.25">
      <c r="AO1148" s="62"/>
    </row>
    <row r="1149" spans="41:41" x14ac:dyDescent="0.25">
      <c r="AO1149" s="62"/>
    </row>
    <row r="1150" spans="41:41" x14ac:dyDescent="0.25">
      <c r="AO1150" s="62"/>
    </row>
    <row r="1151" spans="41:41" x14ac:dyDescent="0.25">
      <c r="AO1151" s="62"/>
    </row>
    <row r="1152" spans="41:41" x14ac:dyDescent="0.25">
      <c r="AO1152" s="62"/>
    </row>
    <row r="1153" spans="41:41" x14ac:dyDescent="0.25">
      <c r="AO1153" s="62"/>
    </row>
    <row r="1154" spans="41:41" x14ac:dyDescent="0.25">
      <c r="AO1154" s="62"/>
    </row>
    <row r="1155" spans="41:41" x14ac:dyDescent="0.25">
      <c r="AO1155" s="62"/>
    </row>
    <row r="1156" spans="41:41" x14ac:dyDescent="0.25">
      <c r="AO1156" s="62"/>
    </row>
    <row r="1157" spans="41:41" x14ac:dyDescent="0.25">
      <c r="AO1157" s="62"/>
    </row>
    <row r="1158" spans="41:41" x14ac:dyDescent="0.25">
      <c r="AO1158" s="62"/>
    </row>
    <row r="1159" spans="41:41" x14ac:dyDescent="0.25">
      <c r="AO1159" s="62"/>
    </row>
    <row r="1160" spans="41:41" x14ac:dyDescent="0.25">
      <c r="AO1160" s="62"/>
    </row>
    <row r="1161" spans="41:41" x14ac:dyDescent="0.25">
      <c r="AO1161" s="62"/>
    </row>
    <row r="1162" spans="41:41" x14ac:dyDescent="0.25">
      <c r="AO1162" s="62"/>
    </row>
    <row r="1163" spans="41:41" x14ac:dyDescent="0.25">
      <c r="AO1163" s="62"/>
    </row>
    <row r="1164" spans="41:41" x14ac:dyDescent="0.25">
      <c r="AO1164" s="62"/>
    </row>
    <row r="1165" spans="41:41" x14ac:dyDescent="0.25">
      <c r="AO1165" s="62"/>
    </row>
    <row r="1166" spans="41:41" x14ac:dyDescent="0.25">
      <c r="AO1166" s="62"/>
    </row>
    <row r="1167" spans="41:41" x14ac:dyDescent="0.25">
      <c r="AO1167" s="62"/>
    </row>
    <row r="1168" spans="41:41" x14ac:dyDescent="0.25">
      <c r="AO1168" s="62"/>
    </row>
    <row r="1169" spans="41:41" x14ac:dyDescent="0.25">
      <c r="AO1169" s="62"/>
    </row>
    <row r="1170" spans="41:41" x14ac:dyDescent="0.25">
      <c r="AO1170" s="62"/>
    </row>
    <row r="1171" spans="41:41" x14ac:dyDescent="0.25">
      <c r="AO1171" s="62"/>
    </row>
    <row r="1172" spans="41:41" x14ac:dyDescent="0.25">
      <c r="AO1172" s="62"/>
    </row>
    <row r="1173" spans="41:41" x14ac:dyDescent="0.25">
      <c r="AO1173" s="62"/>
    </row>
    <row r="1174" spans="41:41" x14ac:dyDescent="0.25">
      <c r="AO1174" s="62"/>
    </row>
    <row r="1175" spans="41:41" x14ac:dyDescent="0.25">
      <c r="AO1175" s="62"/>
    </row>
    <row r="1176" spans="41:41" x14ac:dyDescent="0.25">
      <c r="AO1176" s="62"/>
    </row>
    <row r="1177" spans="41:41" x14ac:dyDescent="0.25">
      <c r="AO1177" s="62"/>
    </row>
    <row r="1178" spans="41:41" x14ac:dyDescent="0.25">
      <c r="AO1178" s="62"/>
    </row>
    <row r="1179" spans="41:41" x14ac:dyDescent="0.25">
      <c r="AO1179" s="62"/>
    </row>
    <row r="1180" spans="41:41" x14ac:dyDescent="0.25">
      <c r="AO1180" s="62"/>
    </row>
    <row r="1181" spans="41:41" x14ac:dyDescent="0.25">
      <c r="AO1181" s="62"/>
    </row>
    <row r="1182" spans="41:41" x14ac:dyDescent="0.25">
      <c r="AO1182" s="62"/>
    </row>
    <row r="1183" spans="41:41" x14ac:dyDescent="0.25">
      <c r="AO1183" s="62"/>
    </row>
    <row r="1184" spans="41:41" x14ac:dyDescent="0.25">
      <c r="AO1184" s="62"/>
    </row>
    <row r="1185" spans="41:41" x14ac:dyDescent="0.25">
      <c r="AO1185" s="62"/>
    </row>
    <row r="1186" spans="41:41" x14ac:dyDescent="0.25">
      <c r="AO1186" s="62"/>
    </row>
    <row r="1187" spans="41:41" x14ac:dyDescent="0.25">
      <c r="AO1187" s="62"/>
    </row>
    <row r="1188" spans="41:41" x14ac:dyDescent="0.25">
      <c r="AO1188" s="62"/>
    </row>
    <row r="1189" spans="41:41" x14ac:dyDescent="0.25">
      <c r="AO1189" s="62"/>
    </row>
    <row r="1190" spans="41:41" x14ac:dyDescent="0.25">
      <c r="AO1190" s="62"/>
    </row>
    <row r="1191" spans="41:41" x14ac:dyDescent="0.25">
      <c r="AO1191" s="62"/>
    </row>
    <row r="1192" spans="41:41" x14ac:dyDescent="0.25">
      <c r="AO1192" s="62"/>
    </row>
    <row r="1193" spans="41:41" x14ac:dyDescent="0.25">
      <c r="AO1193" s="62"/>
    </row>
    <row r="1194" spans="41:41" x14ac:dyDescent="0.25">
      <c r="AO1194" s="62"/>
    </row>
    <row r="1195" spans="41:41" x14ac:dyDescent="0.25">
      <c r="AO1195" s="62"/>
    </row>
    <row r="1196" spans="41:41" x14ac:dyDescent="0.25">
      <c r="AO1196" s="62"/>
    </row>
    <row r="1197" spans="41:41" x14ac:dyDescent="0.25">
      <c r="AO1197" s="62"/>
    </row>
    <row r="1198" spans="41:41" x14ac:dyDescent="0.25">
      <c r="AO1198" s="62"/>
    </row>
    <row r="1199" spans="41:41" x14ac:dyDescent="0.25">
      <c r="AO1199" s="62"/>
    </row>
    <row r="1200" spans="41:41" x14ac:dyDescent="0.25">
      <c r="AO1200" s="62"/>
    </row>
    <row r="1201" spans="41:41" x14ac:dyDescent="0.25">
      <c r="AO1201" s="62"/>
    </row>
    <row r="1202" spans="41:41" x14ac:dyDescent="0.25">
      <c r="AO1202" s="62"/>
    </row>
    <row r="1203" spans="41:41" x14ac:dyDescent="0.25">
      <c r="AO1203" s="62"/>
    </row>
    <row r="1204" spans="41:41" x14ac:dyDescent="0.25">
      <c r="AO1204" s="62"/>
    </row>
    <row r="1205" spans="41:41" x14ac:dyDescent="0.25">
      <c r="AO1205" s="62"/>
    </row>
    <row r="1206" spans="41:41" x14ac:dyDescent="0.25">
      <c r="AO1206" s="62"/>
    </row>
    <row r="1207" spans="41:41" x14ac:dyDescent="0.25">
      <c r="AO1207" s="62"/>
    </row>
    <row r="1208" spans="41:41" x14ac:dyDescent="0.25">
      <c r="AO1208" s="62"/>
    </row>
    <row r="1209" spans="41:41" x14ac:dyDescent="0.25">
      <c r="AO1209" s="62"/>
    </row>
    <row r="1210" spans="41:41" x14ac:dyDescent="0.25">
      <c r="AO1210" s="62"/>
    </row>
    <row r="1211" spans="41:41" x14ac:dyDescent="0.25">
      <c r="AO1211" s="62"/>
    </row>
    <row r="1212" spans="41:41" x14ac:dyDescent="0.25">
      <c r="AO1212" s="62"/>
    </row>
    <row r="1213" spans="41:41" x14ac:dyDescent="0.25">
      <c r="AO1213" s="62"/>
    </row>
    <row r="1214" spans="41:41" x14ac:dyDescent="0.25">
      <c r="AO1214" s="62"/>
    </row>
    <row r="1215" spans="41:41" x14ac:dyDescent="0.25">
      <c r="AO1215" s="62"/>
    </row>
    <row r="1216" spans="41:41" x14ac:dyDescent="0.25">
      <c r="AO1216" s="62"/>
    </row>
    <row r="1217" spans="41:41" x14ac:dyDescent="0.25">
      <c r="AO1217" s="62"/>
    </row>
    <row r="1218" spans="41:41" x14ac:dyDescent="0.25">
      <c r="AO1218" s="62"/>
    </row>
    <row r="1219" spans="41:41" x14ac:dyDescent="0.25">
      <c r="AO1219" s="62"/>
    </row>
    <row r="1220" spans="41:41" x14ac:dyDescent="0.25">
      <c r="AO1220" s="62"/>
    </row>
    <row r="1221" spans="41:41" x14ac:dyDescent="0.25">
      <c r="AO1221" s="62"/>
    </row>
    <row r="1222" spans="41:41" x14ac:dyDescent="0.25">
      <c r="AO1222" s="62"/>
    </row>
    <row r="1223" spans="41:41" x14ac:dyDescent="0.25">
      <c r="AO1223" s="62"/>
    </row>
    <row r="1224" spans="41:41" x14ac:dyDescent="0.25">
      <c r="AO1224" s="62"/>
    </row>
    <row r="1225" spans="41:41" x14ac:dyDescent="0.25">
      <c r="AO1225" s="62"/>
    </row>
    <row r="1226" spans="41:41" x14ac:dyDescent="0.25">
      <c r="AO1226" s="62"/>
    </row>
    <row r="1227" spans="41:41" x14ac:dyDescent="0.25">
      <c r="AO1227" s="62"/>
    </row>
    <row r="1228" spans="41:41" x14ac:dyDescent="0.25">
      <c r="AO1228" s="62"/>
    </row>
    <row r="1229" spans="41:41" x14ac:dyDescent="0.25">
      <c r="AO1229" s="62"/>
    </row>
    <row r="1230" spans="41:41" x14ac:dyDescent="0.25">
      <c r="AO1230" s="62"/>
    </row>
    <row r="1231" spans="41:41" x14ac:dyDescent="0.25">
      <c r="AO1231" s="62"/>
    </row>
    <row r="1232" spans="41:41" x14ac:dyDescent="0.25">
      <c r="AO1232" s="62"/>
    </row>
    <row r="1233" spans="41:41" x14ac:dyDescent="0.25">
      <c r="AO1233" s="62"/>
    </row>
    <row r="1234" spans="41:41" x14ac:dyDescent="0.25">
      <c r="AO1234" s="62"/>
    </row>
    <row r="1235" spans="41:41" x14ac:dyDescent="0.25">
      <c r="AO1235" s="62"/>
    </row>
    <row r="1236" spans="41:41" x14ac:dyDescent="0.25">
      <c r="AO1236" s="62"/>
    </row>
    <row r="1237" spans="41:41" x14ac:dyDescent="0.25">
      <c r="AO1237" s="62"/>
    </row>
    <row r="1238" spans="41:41" x14ac:dyDescent="0.25">
      <c r="AO1238" s="62"/>
    </row>
    <row r="1239" spans="41:41" x14ac:dyDescent="0.25">
      <c r="AO1239" s="62"/>
    </row>
    <row r="1240" spans="41:41" x14ac:dyDescent="0.25">
      <c r="AO1240" s="62"/>
    </row>
    <row r="1241" spans="41:41" x14ac:dyDescent="0.25">
      <c r="AO1241" s="62"/>
    </row>
    <row r="1242" spans="41:41" x14ac:dyDescent="0.25">
      <c r="AO1242" s="62"/>
    </row>
    <row r="1243" spans="41:41" x14ac:dyDescent="0.25">
      <c r="AO1243" s="62"/>
    </row>
    <row r="1244" spans="41:41" x14ac:dyDescent="0.25">
      <c r="AO1244" s="62"/>
    </row>
    <row r="1245" spans="41:41" x14ac:dyDescent="0.25">
      <c r="AO1245" s="62"/>
    </row>
    <row r="1246" spans="41:41" x14ac:dyDescent="0.25">
      <c r="AO1246" s="62"/>
    </row>
    <row r="1247" spans="41:41" x14ac:dyDescent="0.25">
      <c r="AO1247" s="62"/>
    </row>
    <row r="1248" spans="41:41" x14ac:dyDescent="0.25">
      <c r="AO1248" s="62"/>
    </row>
    <row r="1249" spans="41:41" x14ac:dyDescent="0.25">
      <c r="AO1249" s="62"/>
    </row>
    <row r="1250" spans="41:41" x14ac:dyDescent="0.25">
      <c r="AO1250" s="62"/>
    </row>
    <row r="1251" spans="41:41" x14ac:dyDescent="0.25">
      <c r="AO1251" s="62"/>
    </row>
    <row r="1252" spans="41:41" x14ac:dyDescent="0.25">
      <c r="AO1252" s="62"/>
    </row>
    <row r="1253" spans="41:41" x14ac:dyDescent="0.25">
      <c r="AO1253" s="62"/>
    </row>
    <row r="1254" spans="41:41" x14ac:dyDescent="0.25">
      <c r="AO1254" s="62"/>
    </row>
    <row r="1255" spans="41:41" x14ac:dyDescent="0.25">
      <c r="AO1255" s="62"/>
    </row>
    <row r="1256" spans="41:41" x14ac:dyDescent="0.25">
      <c r="AO1256" s="62"/>
    </row>
    <row r="1257" spans="41:41" x14ac:dyDescent="0.25">
      <c r="AO1257" s="62"/>
    </row>
    <row r="1258" spans="41:41" x14ac:dyDescent="0.25">
      <c r="AO1258" s="62"/>
    </row>
    <row r="1259" spans="41:41" x14ac:dyDescent="0.25">
      <c r="AO1259" s="62"/>
    </row>
    <row r="1260" spans="41:41" x14ac:dyDescent="0.25">
      <c r="AO1260" s="62"/>
    </row>
    <row r="1261" spans="41:41" x14ac:dyDescent="0.25">
      <c r="AO1261" s="62"/>
    </row>
    <row r="1262" spans="41:41" x14ac:dyDescent="0.25">
      <c r="AO1262" s="62"/>
    </row>
    <row r="1263" spans="41:41" x14ac:dyDescent="0.25">
      <c r="AO1263" s="62"/>
    </row>
    <row r="1264" spans="41:41" x14ac:dyDescent="0.25">
      <c r="AO1264" s="62"/>
    </row>
    <row r="1265" spans="41:41" x14ac:dyDescent="0.25">
      <c r="AO1265" s="62"/>
    </row>
    <row r="1266" spans="41:41" x14ac:dyDescent="0.25">
      <c r="AO1266" s="62"/>
    </row>
    <row r="1267" spans="41:41" x14ac:dyDescent="0.25">
      <c r="AO1267" s="62"/>
    </row>
    <row r="1268" spans="41:41" x14ac:dyDescent="0.25">
      <c r="AO1268" s="62"/>
    </row>
    <row r="1269" spans="41:41" x14ac:dyDescent="0.25">
      <c r="AO1269" s="62"/>
    </row>
    <row r="1270" spans="41:41" x14ac:dyDescent="0.25">
      <c r="AO1270" s="62"/>
    </row>
    <row r="1271" spans="41:41" x14ac:dyDescent="0.25">
      <c r="AO1271" s="62"/>
    </row>
    <row r="1272" spans="41:41" x14ac:dyDescent="0.25">
      <c r="AO1272" s="62"/>
    </row>
    <row r="1273" spans="41:41" x14ac:dyDescent="0.25">
      <c r="AO1273" s="62"/>
    </row>
    <row r="1274" spans="41:41" x14ac:dyDescent="0.25">
      <c r="AO1274" s="62"/>
    </row>
    <row r="1275" spans="41:41" x14ac:dyDescent="0.25">
      <c r="AO1275" s="62"/>
    </row>
    <row r="1276" spans="41:41" x14ac:dyDescent="0.25">
      <c r="AO1276" s="62"/>
    </row>
    <row r="1277" spans="41:41" x14ac:dyDescent="0.25">
      <c r="AO1277" s="62"/>
    </row>
    <row r="1278" spans="41:41" x14ac:dyDescent="0.25">
      <c r="AO1278" s="62"/>
    </row>
    <row r="1279" spans="41:41" x14ac:dyDescent="0.25">
      <c r="AO1279" s="62"/>
    </row>
    <row r="1280" spans="41:41" x14ac:dyDescent="0.25">
      <c r="AO1280" s="62"/>
    </row>
    <row r="1281" spans="41:41" x14ac:dyDescent="0.25">
      <c r="AO1281" s="62"/>
    </row>
    <row r="1282" spans="41:41" x14ac:dyDescent="0.25">
      <c r="AO1282" s="62"/>
    </row>
    <row r="1283" spans="41:41" x14ac:dyDescent="0.25">
      <c r="AO1283" s="62"/>
    </row>
    <row r="1284" spans="41:41" x14ac:dyDescent="0.25">
      <c r="AO1284" s="62"/>
    </row>
    <row r="1285" spans="41:41" x14ac:dyDescent="0.25">
      <c r="AO1285" s="62"/>
    </row>
    <row r="1286" spans="41:41" x14ac:dyDescent="0.25">
      <c r="AO1286" s="62"/>
    </row>
    <row r="1287" spans="41:41" x14ac:dyDescent="0.25">
      <c r="AO1287" s="62"/>
    </row>
    <row r="1288" spans="41:41" x14ac:dyDescent="0.25">
      <c r="AO1288" s="62"/>
    </row>
    <row r="1289" spans="41:41" x14ac:dyDescent="0.25">
      <c r="AO1289" s="62"/>
    </row>
    <row r="1290" spans="41:41" x14ac:dyDescent="0.25">
      <c r="AO1290" s="62"/>
    </row>
    <row r="1291" spans="41:41" x14ac:dyDescent="0.25">
      <c r="AO1291" s="62"/>
    </row>
    <row r="1292" spans="41:41" x14ac:dyDescent="0.25">
      <c r="AO1292" s="62"/>
    </row>
    <row r="1293" spans="41:41" x14ac:dyDescent="0.25">
      <c r="AO1293" s="62"/>
    </row>
    <row r="1294" spans="41:41" x14ac:dyDescent="0.25">
      <c r="AO1294" s="62"/>
    </row>
    <row r="1295" spans="41:41" x14ac:dyDescent="0.25">
      <c r="AO1295" s="62"/>
    </row>
    <row r="1296" spans="41:41" x14ac:dyDescent="0.25">
      <c r="AO1296" s="62"/>
    </row>
    <row r="1297" spans="41:41" x14ac:dyDescent="0.25">
      <c r="AO1297" s="62"/>
    </row>
    <row r="1298" spans="41:41" x14ac:dyDescent="0.25">
      <c r="AO1298" s="62"/>
    </row>
    <row r="1299" spans="41:41" x14ac:dyDescent="0.25">
      <c r="AO1299" s="62"/>
    </row>
    <row r="1300" spans="41:41" x14ac:dyDescent="0.25">
      <c r="AO1300" s="62"/>
    </row>
    <row r="1301" spans="41:41" x14ac:dyDescent="0.25">
      <c r="AO1301" s="62"/>
    </row>
    <row r="1302" spans="41:41" x14ac:dyDescent="0.25">
      <c r="AO1302" s="62"/>
    </row>
    <row r="1303" spans="41:41" x14ac:dyDescent="0.25">
      <c r="AO1303" s="62"/>
    </row>
    <row r="1304" spans="41:41" x14ac:dyDescent="0.25">
      <c r="AO1304" s="62"/>
    </row>
    <row r="1305" spans="41:41" x14ac:dyDescent="0.25">
      <c r="AO1305" s="62"/>
    </row>
    <row r="1306" spans="41:41" x14ac:dyDescent="0.25">
      <c r="AO1306" s="62"/>
    </row>
    <row r="1307" spans="41:41" x14ac:dyDescent="0.25">
      <c r="AO1307" s="62"/>
    </row>
    <row r="1308" spans="41:41" x14ac:dyDescent="0.25">
      <c r="AO1308" s="62"/>
    </row>
    <row r="1309" spans="41:41" x14ac:dyDescent="0.25">
      <c r="AO1309" s="62"/>
    </row>
    <row r="1310" spans="41:41" x14ac:dyDescent="0.25">
      <c r="AO1310" s="62"/>
    </row>
    <row r="1311" spans="41:41" x14ac:dyDescent="0.25">
      <c r="AO1311" s="62"/>
    </row>
    <row r="1312" spans="41:41" x14ac:dyDescent="0.25">
      <c r="AO1312" s="62"/>
    </row>
    <row r="1313" spans="41:41" x14ac:dyDescent="0.25">
      <c r="AO1313" s="62"/>
    </row>
    <row r="1314" spans="41:41" x14ac:dyDescent="0.25">
      <c r="AO1314" s="62"/>
    </row>
    <row r="1315" spans="41:41" x14ac:dyDescent="0.25">
      <c r="AO1315" s="62"/>
    </row>
    <row r="1316" spans="41:41" x14ac:dyDescent="0.25">
      <c r="AO1316" s="62"/>
    </row>
    <row r="1317" spans="41:41" x14ac:dyDescent="0.25">
      <c r="AO1317" s="62"/>
    </row>
    <row r="1318" spans="41:41" x14ac:dyDescent="0.25">
      <c r="AO1318" s="62"/>
    </row>
    <row r="1319" spans="41:41" x14ac:dyDescent="0.25">
      <c r="AO1319" s="62"/>
    </row>
    <row r="1320" spans="41:41" x14ac:dyDescent="0.25">
      <c r="AO1320" s="62"/>
    </row>
    <row r="1321" spans="41:41" x14ac:dyDescent="0.25">
      <c r="AO1321" s="62"/>
    </row>
    <row r="1322" spans="41:41" x14ac:dyDescent="0.25">
      <c r="AO1322" s="62"/>
    </row>
    <row r="1323" spans="41:41" x14ac:dyDescent="0.25">
      <c r="AO1323" s="62"/>
    </row>
    <row r="1324" spans="41:41" x14ac:dyDescent="0.25">
      <c r="AO1324" s="62"/>
    </row>
    <row r="1325" spans="41:41" x14ac:dyDescent="0.25">
      <c r="AO1325" s="62"/>
    </row>
    <row r="1326" spans="41:41" x14ac:dyDescent="0.25">
      <c r="AO1326" s="62"/>
    </row>
    <row r="1327" spans="41:41" x14ac:dyDescent="0.25">
      <c r="AO1327" s="62"/>
    </row>
    <row r="1328" spans="41:41" x14ac:dyDescent="0.25">
      <c r="AO1328" s="62"/>
    </row>
    <row r="1329" spans="41:41" x14ac:dyDescent="0.25">
      <c r="AO1329" s="62"/>
    </row>
    <row r="1330" spans="41:41" x14ac:dyDescent="0.25">
      <c r="AO1330" s="62"/>
    </row>
    <row r="1331" spans="41:41" x14ac:dyDescent="0.25">
      <c r="AO1331" s="62"/>
    </row>
    <row r="1332" spans="41:41" x14ac:dyDescent="0.25">
      <c r="AO1332" s="62"/>
    </row>
    <row r="1333" spans="41:41" x14ac:dyDescent="0.25">
      <c r="AO1333" s="62"/>
    </row>
    <row r="1334" spans="41:41" x14ac:dyDescent="0.25">
      <c r="AO1334" s="62"/>
    </row>
    <row r="1335" spans="41:41" x14ac:dyDescent="0.25">
      <c r="AO1335" s="62"/>
    </row>
    <row r="1336" spans="41:41" x14ac:dyDescent="0.25">
      <c r="AO1336" s="62"/>
    </row>
    <row r="1337" spans="41:41" x14ac:dyDescent="0.25">
      <c r="AO1337" s="62"/>
    </row>
    <row r="1338" spans="41:41" x14ac:dyDescent="0.25">
      <c r="AO1338" s="62"/>
    </row>
    <row r="1339" spans="41:41" x14ac:dyDescent="0.25">
      <c r="AO1339" s="62"/>
    </row>
    <row r="1340" spans="41:41" x14ac:dyDescent="0.25">
      <c r="AO1340" s="62"/>
    </row>
    <row r="1341" spans="41:41" x14ac:dyDescent="0.25">
      <c r="AO1341" s="62"/>
    </row>
    <row r="1342" spans="41:41" x14ac:dyDescent="0.25">
      <c r="AO1342" s="62"/>
    </row>
    <row r="1343" spans="41:41" x14ac:dyDescent="0.25">
      <c r="AO1343" s="62"/>
    </row>
    <row r="1344" spans="41:41" x14ac:dyDescent="0.25">
      <c r="AO1344" s="62"/>
    </row>
    <row r="1345" spans="41:41" x14ac:dyDescent="0.25">
      <c r="AO1345" s="62"/>
    </row>
    <row r="1346" spans="41:41" x14ac:dyDescent="0.25">
      <c r="AO1346" s="62"/>
    </row>
    <row r="1347" spans="41:41" x14ac:dyDescent="0.25">
      <c r="AO1347" s="62"/>
    </row>
    <row r="1348" spans="41:41" x14ac:dyDescent="0.25">
      <c r="AO1348" s="62"/>
    </row>
    <row r="1349" spans="41:41" x14ac:dyDescent="0.25">
      <c r="AO1349" s="62"/>
    </row>
    <row r="1350" spans="41:41" x14ac:dyDescent="0.25">
      <c r="AO1350" s="62"/>
    </row>
    <row r="1351" spans="41:41" x14ac:dyDescent="0.25">
      <c r="AO1351" s="62"/>
    </row>
    <row r="1352" spans="41:41" x14ac:dyDescent="0.25">
      <c r="AO1352" s="62"/>
    </row>
    <row r="1353" spans="41:41" x14ac:dyDescent="0.25">
      <c r="AO1353" s="62"/>
    </row>
    <row r="1354" spans="41:41" x14ac:dyDescent="0.25">
      <c r="AO1354" s="62"/>
    </row>
    <row r="1355" spans="41:41" x14ac:dyDescent="0.25">
      <c r="AO1355" s="62"/>
    </row>
    <row r="1356" spans="41:41" x14ac:dyDescent="0.25">
      <c r="AO1356" s="62"/>
    </row>
    <row r="1357" spans="41:41" x14ac:dyDescent="0.25">
      <c r="AO1357" s="62"/>
    </row>
    <row r="1358" spans="41:41" x14ac:dyDescent="0.25">
      <c r="AO1358" s="62"/>
    </row>
    <row r="1359" spans="41:41" x14ac:dyDescent="0.25">
      <c r="AO1359" s="62"/>
    </row>
    <row r="1360" spans="41:41" x14ac:dyDescent="0.25">
      <c r="AO1360" s="62"/>
    </row>
    <row r="1361" spans="41:41" x14ac:dyDescent="0.25">
      <c r="AO1361" s="62"/>
    </row>
    <row r="1362" spans="41:41" x14ac:dyDescent="0.25">
      <c r="AO1362" s="62"/>
    </row>
    <row r="1363" spans="41:41" x14ac:dyDescent="0.25">
      <c r="AO1363" s="62"/>
    </row>
    <row r="1364" spans="41:41" x14ac:dyDescent="0.25">
      <c r="AO1364" s="62"/>
    </row>
    <row r="1365" spans="41:41" x14ac:dyDescent="0.25">
      <c r="AO1365" s="62"/>
    </row>
    <row r="1366" spans="41:41" x14ac:dyDescent="0.25">
      <c r="AO1366" s="62"/>
    </row>
    <row r="1367" spans="41:41" x14ac:dyDescent="0.25">
      <c r="AO1367" s="62"/>
    </row>
    <row r="1368" spans="41:41" x14ac:dyDescent="0.25">
      <c r="AO1368" s="62"/>
    </row>
    <row r="1369" spans="41:41" x14ac:dyDescent="0.25">
      <c r="AO1369" s="62"/>
    </row>
    <row r="1370" spans="41:41" x14ac:dyDescent="0.25">
      <c r="AO1370" s="62"/>
    </row>
    <row r="1371" spans="41:41" x14ac:dyDescent="0.25">
      <c r="AO1371" s="62"/>
    </row>
    <row r="1372" spans="41:41" x14ac:dyDescent="0.25">
      <c r="AO1372" s="62"/>
    </row>
    <row r="1373" spans="41:41" x14ac:dyDescent="0.25">
      <c r="AO1373" s="62"/>
    </row>
    <row r="1374" spans="41:41" x14ac:dyDescent="0.25">
      <c r="AO1374" s="62"/>
    </row>
    <row r="1375" spans="41:41" x14ac:dyDescent="0.25">
      <c r="AO1375" s="62"/>
    </row>
    <row r="1376" spans="41:41" x14ac:dyDescent="0.25">
      <c r="AO1376" s="62"/>
    </row>
    <row r="1377" spans="41:41" x14ac:dyDescent="0.25">
      <c r="AO1377" s="62"/>
    </row>
    <row r="1378" spans="41:41" x14ac:dyDescent="0.25">
      <c r="AO1378" s="62"/>
    </row>
    <row r="1379" spans="41:41" x14ac:dyDescent="0.25">
      <c r="AO1379" s="62"/>
    </row>
    <row r="1380" spans="41:41" x14ac:dyDescent="0.25">
      <c r="AO1380" s="62"/>
    </row>
    <row r="1381" spans="41:41" x14ac:dyDescent="0.25">
      <c r="AO1381" s="62"/>
    </row>
    <row r="1382" spans="41:41" x14ac:dyDescent="0.25">
      <c r="AO1382" s="62"/>
    </row>
    <row r="1383" spans="41:41" x14ac:dyDescent="0.25">
      <c r="AO1383" s="62"/>
    </row>
    <row r="1384" spans="41:41" x14ac:dyDescent="0.25">
      <c r="AO1384" s="62"/>
    </row>
    <row r="1385" spans="41:41" x14ac:dyDescent="0.25">
      <c r="AO1385" s="62"/>
    </row>
    <row r="1386" spans="41:41" x14ac:dyDescent="0.25">
      <c r="AO1386" s="62"/>
    </row>
    <row r="1387" spans="41:41" x14ac:dyDescent="0.25">
      <c r="AO1387" s="62"/>
    </row>
    <row r="1388" spans="41:41" x14ac:dyDescent="0.25">
      <c r="AO1388" s="62"/>
    </row>
    <row r="1389" spans="41:41" x14ac:dyDescent="0.25">
      <c r="AO1389" s="62"/>
    </row>
    <row r="1390" spans="41:41" x14ac:dyDescent="0.25">
      <c r="AO1390" s="62"/>
    </row>
    <row r="1391" spans="41:41" x14ac:dyDescent="0.25">
      <c r="AO1391" s="62"/>
    </row>
    <row r="1392" spans="41:41" x14ac:dyDescent="0.25">
      <c r="AO1392" s="62"/>
    </row>
    <row r="1393" spans="41:41" x14ac:dyDescent="0.25">
      <c r="AO1393" s="62"/>
    </row>
    <row r="1394" spans="41:41" x14ac:dyDescent="0.25">
      <c r="AO1394" s="62"/>
    </row>
    <row r="1395" spans="41:41" x14ac:dyDescent="0.25">
      <c r="AO1395" s="62"/>
    </row>
    <row r="1396" spans="41:41" x14ac:dyDescent="0.25">
      <c r="AO1396" s="62"/>
    </row>
    <row r="1397" spans="41:41" x14ac:dyDescent="0.25">
      <c r="AO1397" s="62"/>
    </row>
    <row r="1398" spans="41:41" x14ac:dyDescent="0.25">
      <c r="AO1398" s="62"/>
    </row>
    <row r="1399" spans="41:41" x14ac:dyDescent="0.25">
      <c r="AO1399" s="62"/>
    </row>
    <row r="1400" spans="41:41" x14ac:dyDescent="0.25">
      <c r="AO1400" s="62"/>
    </row>
    <row r="1401" spans="41:41" x14ac:dyDescent="0.25">
      <c r="AO1401" s="62"/>
    </row>
    <row r="1402" spans="41:41" x14ac:dyDescent="0.25">
      <c r="AO1402" s="62"/>
    </row>
    <row r="1403" spans="41:41" x14ac:dyDescent="0.25">
      <c r="AO1403" s="62"/>
    </row>
    <row r="1404" spans="41:41" x14ac:dyDescent="0.25">
      <c r="AO1404" s="62"/>
    </row>
    <row r="1405" spans="41:41" x14ac:dyDescent="0.25">
      <c r="AO1405" s="62"/>
    </row>
    <row r="1406" spans="41:41" x14ac:dyDescent="0.25">
      <c r="AO1406" s="62"/>
    </row>
    <row r="1407" spans="41:41" x14ac:dyDescent="0.25">
      <c r="AO1407" s="62"/>
    </row>
    <row r="1408" spans="41:41" x14ac:dyDescent="0.25">
      <c r="AO1408" s="62"/>
    </row>
    <row r="1409" spans="41:41" x14ac:dyDescent="0.25">
      <c r="AO1409" s="62"/>
    </row>
    <row r="1410" spans="41:41" x14ac:dyDescent="0.25">
      <c r="AO1410" s="62"/>
    </row>
    <row r="1411" spans="41:41" x14ac:dyDescent="0.25">
      <c r="AO1411" s="62"/>
    </row>
    <row r="1412" spans="41:41" x14ac:dyDescent="0.25">
      <c r="AO1412" s="62"/>
    </row>
    <row r="1413" spans="41:41" x14ac:dyDescent="0.25">
      <c r="AO1413" s="62"/>
    </row>
    <row r="1414" spans="41:41" x14ac:dyDescent="0.25">
      <c r="AO1414" s="62"/>
    </row>
    <row r="1415" spans="41:41" x14ac:dyDescent="0.25">
      <c r="AO1415" s="62"/>
    </row>
    <row r="1416" spans="41:41" x14ac:dyDescent="0.25">
      <c r="AO1416" s="62"/>
    </row>
    <row r="1417" spans="41:41" x14ac:dyDescent="0.25">
      <c r="AO1417" s="62"/>
    </row>
    <row r="1418" spans="41:41" x14ac:dyDescent="0.25">
      <c r="AO1418" s="62"/>
    </row>
    <row r="1419" spans="41:41" x14ac:dyDescent="0.25">
      <c r="AO1419" s="62"/>
    </row>
    <row r="1420" spans="41:41" x14ac:dyDescent="0.25">
      <c r="AO1420" s="62"/>
    </row>
    <row r="1421" spans="41:41" x14ac:dyDescent="0.25">
      <c r="AO1421" s="62"/>
    </row>
    <row r="1422" spans="41:41" x14ac:dyDescent="0.25">
      <c r="AO1422" s="62"/>
    </row>
    <row r="1423" spans="41:41" x14ac:dyDescent="0.25">
      <c r="AO1423" s="62"/>
    </row>
    <row r="1424" spans="41:41" x14ac:dyDescent="0.25">
      <c r="AO1424" s="62"/>
    </row>
    <row r="1425" spans="41:41" x14ac:dyDescent="0.25">
      <c r="AO1425" s="62"/>
    </row>
    <row r="1426" spans="41:41" x14ac:dyDescent="0.25">
      <c r="AO1426" s="62"/>
    </row>
    <row r="1427" spans="41:41" x14ac:dyDescent="0.25">
      <c r="AO1427" s="62"/>
    </row>
    <row r="1428" spans="41:41" x14ac:dyDescent="0.25">
      <c r="AO1428" s="62"/>
    </row>
    <row r="1429" spans="41:41" x14ac:dyDescent="0.25">
      <c r="AO1429" s="62"/>
    </row>
    <row r="1430" spans="41:41" x14ac:dyDescent="0.25">
      <c r="AO1430" s="62"/>
    </row>
    <row r="1431" spans="41:41" x14ac:dyDescent="0.25">
      <c r="AO1431" s="62"/>
    </row>
    <row r="1432" spans="41:41" x14ac:dyDescent="0.25">
      <c r="AO1432" s="62"/>
    </row>
    <row r="1433" spans="41:41" x14ac:dyDescent="0.25">
      <c r="AO1433" s="62"/>
    </row>
    <row r="1434" spans="41:41" x14ac:dyDescent="0.25">
      <c r="AO1434" s="62"/>
    </row>
    <row r="1435" spans="41:41" x14ac:dyDescent="0.25">
      <c r="AO1435" s="62"/>
    </row>
    <row r="1436" spans="41:41" x14ac:dyDescent="0.25">
      <c r="AO1436" s="62"/>
    </row>
    <row r="1437" spans="41:41" x14ac:dyDescent="0.25">
      <c r="AO1437" s="62"/>
    </row>
    <row r="1438" spans="41:41" x14ac:dyDescent="0.25">
      <c r="AO1438" s="62"/>
    </row>
    <row r="1439" spans="41:41" x14ac:dyDescent="0.25">
      <c r="AO1439" s="62"/>
    </row>
    <row r="1440" spans="41:41" x14ac:dyDescent="0.25">
      <c r="AO1440" s="62"/>
    </row>
    <row r="1441" spans="41:41" x14ac:dyDescent="0.25">
      <c r="AO1441" s="62"/>
    </row>
    <row r="1442" spans="41:41" x14ac:dyDescent="0.25">
      <c r="AO1442" s="62"/>
    </row>
    <row r="1443" spans="41:41" x14ac:dyDescent="0.25">
      <c r="AO1443" s="62"/>
    </row>
    <row r="1444" spans="41:41" x14ac:dyDescent="0.25">
      <c r="AO1444" s="62"/>
    </row>
    <row r="1445" spans="41:41" x14ac:dyDescent="0.25">
      <c r="AO1445" s="62"/>
    </row>
    <row r="1446" spans="41:41" x14ac:dyDescent="0.25">
      <c r="AO1446" s="62"/>
    </row>
    <row r="1447" spans="41:41" x14ac:dyDescent="0.25">
      <c r="AO1447" s="62"/>
    </row>
    <row r="1448" spans="41:41" x14ac:dyDescent="0.25">
      <c r="AO1448" s="62"/>
    </row>
    <row r="1449" spans="41:41" x14ac:dyDescent="0.25">
      <c r="AO1449" s="62"/>
    </row>
    <row r="1450" spans="41:41" x14ac:dyDescent="0.25">
      <c r="AO1450" s="62"/>
    </row>
    <row r="1451" spans="41:41" x14ac:dyDescent="0.25">
      <c r="AO1451" s="62"/>
    </row>
    <row r="1452" spans="41:41" x14ac:dyDescent="0.25">
      <c r="AO1452" s="62"/>
    </row>
    <row r="1453" spans="41:41" x14ac:dyDescent="0.25">
      <c r="AO1453" s="62"/>
    </row>
    <row r="1454" spans="41:41" x14ac:dyDescent="0.25">
      <c r="AO1454" s="62"/>
    </row>
    <row r="1455" spans="41:41" x14ac:dyDescent="0.25">
      <c r="AO1455" s="62"/>
    </row>
    <row r="1456" spans="41:41" x14ac:dyDescent="0.25">
      <c r="AO1456" s="62"/>
    </row>
    <row r="1457" spans="41:41" x14ac:dyDescent="0.25">
      <c r="AO1457" s="62"/>
    </row>
    <row r="1458" spans="41:41" x14ac:dyDescent="0.25">
      <c r="AO1458" s="62"/>
    </row>
    <row r="1459" spans="41:41" x14ac:dyDescent="0.25">
      <c r="AO1459" s="62"/>
    </row>
    <row r="1460" spans="41:41" x14ac:dyDescent="0.25">
      <c r="AO1460" s="62"/>
    </row>
    <row r="1461" spans="41:41" x14ac:dyDescent="0.25">
      <c r="AO1461" s="62"/>
    </row>
    <row r="1462" spans="41:41" x14ac:dyDescent="0.25">
      <c r="AO1462" s="62"/>
    </row>
    <row r="1463" spans="41:41" x14ac:dyDescent="0.25">
      <c r="AO1463" s="62"/>
    </row>
    <row r="1464" spans="41:41" x14ac:dyDescent="0.25">
      <c r="AO1464" s="62"/>
    </row>
    <row r="1465" spans="41:41" x14ac:dyDescent="0.25">
      <c r="AO1465" s="62"/>
    </row>
    <row r="1466" spans="41:41" x14ac:dyDescent="0.25">
      <c r="AO1466" s="62"/>
    </row>
    <row r="1467" spans="41:41" x14ac:dyDescent="0.25">
      <c r="AO1467" s="62"/>
    </row>
    <row r="1468" spans="41:41" x14ac:dyDescent="0.25">
      <c r="AO1468" s="62"/>
    </row>
    <row r="1469" spans="41:41" x14ac:dyDescent="0.25">
      <c r="AO1469" s="62"/>
    </row>
    <row r="1470" spans="41:41" x14ac:dyDescent="0.25">
      <c r="AO1470" s="62"/>
    </row>
    <row r="1471" spans="41:41" x14ac:dyDescent="0.25">
      <c r="AO1471" s="62"/>
    </row>
    <row r="1472" spans="41:41" x14ac:dyDescent="0.25">
      <c r="AO1472" s="62"/>
    </row>
    <row r="1473" spans="41:41" x14ac:dyDescent="0.25">
      <c r="AO1473" s="62"/>
    </row>
    <row r="1474" spans="41:41" x14ac:dyDescent="0.25">
      <c r="AO1474" s="62"/>
    </row>
    <row r="1475" spans="41:41" x14ac:dyDescent="0.25">
      <c r="AO1475" s="62"/>
    </row>
    <row r="1476" spans="41:41" x14ac:dyDescent="0.25">
      <c r="AO1476" s="62"/>
    </row>
    <row r="1477" spans="41:41" x14ac:dyDescent="0.25">
      <c r="AO1477" s="62"/>
    </row>
    <row r="1478" spans="41:41" x14ac:dyDescent="0.25">
      <c r="AO1478" s="62"/>
    </row>
    <row r="1479" spans="41:41" x14ac:dyDescent="0.25">
      <c r="AO1479" s="62"/>
    </row>
    <row r="1480" spans="41:41" x14ac:dyDescent="0.25">
      <c r="AO1480" s="62"/>
    </row>
    <row r="1481" spans="41:41" x14ac:dyDescent="0.25">
      <c r="AO1481" s="62"/>
    </row>
    <row r="1482" spans="41:41" x14ac:dyDescent="0.25">
      <c r="AO1482" s="62"/>
    </row>
    <row r="1483" spans="41:41" x14ac:dyDescent="0.25">
      <c r="AO1483" s="62"/>
    </row>
    <row r="1484" spans="41:41" x14ac:dyDescent="0.25">
      <c r="AO1484" s="62"/>
    </row>
    <row r="1485" spans="41:41" x14ac:dyDescent="0.25">
      <c r="AO1485" s="62"/>
    </row>
    <row r="1486" spans="41:41" x14ac:dyDescent="0.25">
      <c r="AO1486" s="62"/>
    </row>
    <row r="1487" spans="41:41" x14ac:dyDescent="0.25">
      <c r="AO1487" s="62"/>
    </row>
    <row r="1488" spans="41:41" x14ac:dyDescent="0.25">
      <c r="AO1488" s="62"/>
    </row>
    <row r="1489" spans="41:41" x14ac:dyDescent="0.25">
      <c r="AO1489" s="62"/>
    </row>
    <row r="1490" spans="41:41" x14ac:dyDescent="0.25">
      <c r="AO1490" s="62"/>
    </row>
    <row r="1491" spans="41:41" x14ac:dyDescent="0.25">
      <c r="AO1491" s="62"/>
    </row>
    <row r="1492" spans="41:41" x14ac:dyDescent="0.25">
      <c r="AO1492" s="62"/>
    </row>
    <row r="1493" spans="41:41" x14ac:dyDescent="0.25">
      <c r="AO1493" s="62"/>
    </row>
    <row r="1494" spans="41:41" x14ac:dyDescent="0.25">
      <c r="AO1494" s="62"/>
    </row>
    <row r="1495" spans="41:41" x14ac:dyDescent="0.25">
      <c r="AO1495" s="62"/>
    </row>
    <row r="1496" spans="41:41" x14ac:dyDescent="0.25">
      <c r="AO1496" s="62"/>
    </row>
    <row r="1497" spans="41:41" x14ac:dyDescent="0.25">
      <c r="AO1497" s="62"/>
    </row>
    <row r="1498" spans="41:41" x14ac:dyDescent="0.25">
      <c r="AO1498" s="62"/>
    </row>
    <row r="1499" spans="41:41" x14ac:dyDescent="0.25">
      <c r="AO1499" s="62"/>
    </row>
    <row r="1500" spans="41:41" x14ac:dyDescent="0.25">
      <c r="AO1500" s="62"/>
    </row>
    <row r="1501" spans="41:41" x14ac:dyDescent="0.25">
      <c r="AO1501" s="62"/>
    </row>
    <row r="1502" spans="41:41" x14ac:dyDescent="0.25">
      <c r="AO1502" s="62"/>
    </row>
    <row r="1503" spans="41:41" x14ac:dyDescent="0.25">
      <c r="AO1503" s="62"/>
    </row>
    <row r="1504" spans="41:41" x14ac:dyDescent="0.25">
      <c r="AO1504" s="62"/>
    </row>
    <row r="1505" spans="41:41" x14ac:dyDescent="0.25">
      <c r="AO1505" s="62"/>
    </row>
    <row r="1506" spans="41:41" x14ac:dyDescent="0.25">
      <c r="AO1506" s="62"/>
    </row>
    <row r="1507" spans="41:41" x14ac:dyDescent="0.25">
      <c r="AO1507" s="62"/>
    </row>
    <row r="1508" spans="41:41" x14ac:dyDescent="0.25">
      <c r="AO1508" s="62"/>
    </row>
    <row r="1509" spans="41:41" x14ac:dyDescent="0.25">
      <c r="AO1509" s="62"/>
    </row>
    <row r="1510" spans="41:41" x14ac:dyDescent="0.25">
      <c r="AO1510" s="62"/>
    </row>
    <row r="1511" spans="41:41" x14ac:dyDescent="0.25">
      <c r="AO1511" s="62"/>
    </row>
    <row r="1512" spans="41:41" x14ac:dyDescent="0.25">
      <c r="AO1512" s="62"/>
    </row>
    <row r="1513" spans="41:41" x14ac:dyDescent="0.25">
      <c r="AO1513" s="62"/>
    </row>
    <row r="1514" spans="41:41" x14ac:dyDescent="0.25">
      <c r="AO1514" s="62"/>
    </row>
    <row r="1515" spans="41:41" x14ac:dyDescent="0.25">
      <c r="AO1515" s="62"/>
    </row>
    <row r="1516" spans="41:41" x14ac:dyDescent="0.25">
      <c r="AO1516" s="62"/>
    </row>
    <row r="1517" spans="41:41" x14ac:dyDescent="0.25">
      <c r="AO1517" s="62"/>
    </row>
    <row r="1518" spans="41:41" x14ac:dyDescent="0.25">
      <c r="AO1518" s="62"/>
    </row>
    <row r="1519" spans="41:41" x14ac:dyDescent="0.25">
      <c r="AO1519" s="62"/>
    </row>
    <row r="1520" spans="41:41" x14ac:dyDescent="0.25">
      <c r="AO1520" s="62"/>
    </row>
    <row r="1521" spans="41:41" x14ac:dyDescent="0.25">
      <c r="AO1521" s="62"/>
    </row>
    <row r="1522" spans="41:41" x14ac:dyDescent="0.25">
      <c r="AO1522" s="62"/>
    </row>
    <row r="1523" spans="41:41" x14ac:dyDescent="0.25">
      <c r="AO1523" s="62"/>
    </row>
    <row r="1524" spans="41:41" x14ac:dyDescent="0.25">
      <c r="AO1524" s="62"/>
    </row>
    <row r="1525" spans="41:41" x14ac:dyDescent="0.25">
      <c r="AO1525" s="62"/>
    </row>
    <row r="1526" spans="41:41" x14ac:dyDescent="0.25">
      <c r="AO1526" s="62"/>
    </row>
    <row r="1527" spans="41:41" x14ac:dyDescent="0.25">
      <c r="AO1527" s="62"/>
    </row>
    <row r="1528" spans="41:41" x14ac:dyDescent="0.25">
      <c r="AO1528" s="62"/>
    </row>
    <row r="1529" spans="41:41" x14ac:dyDescent="0.25">
      <c r="AO1529" s="62"/>
    </row>
    <row r="1530" spans="41:41" x14ac:dyDescent="0.25">
      <c r="AO1530" s="62"/>
    </row>
    <row r="1531" spans="41:41" x14ac:dyDescent="0.25">
      <c r="AO1531" s="62"/>
    </row>
    <row r="1532" spans="41:41" x14ac:dyDescent="0.25">
      <c r="AO1532" s="62"/>
    </row>
    <row r="1533" spans="41:41" x14ac:dyDescent="0.25">
      <c r="AO1533" s="62"/>
    </row>
    <row r="1534" spans="41:41" x14ac:dyDescent="0.25">
      <c r="AO1534" s="62"/>
    </row>
    <row r="1535" spans="41:41" x14ac:dyDescent="0.25">
      <c r="AO1535" s="62"/>
    </row>
    <row r="1536" spans="41:41" x14ac:dyDescent="0.25">
      <c r="AO1536" s="62"/>
    </row>
    <row r="1537" spans="41:41" x14ac:dyDescent="0.25">
      <c r="AO1537" s="62"/>
    </row>
    <row r="1538" spans="41:41" x14ac:dyDescent="0.25">
      <c r="AO1538" s="62"/>
    </row>
    <row r="1539" spans="41:41" x14ac:dyDescent="0.25">
      <c r="AO1539" s="62"/>
    </row>
    <row r="1540" spans="41:41" x14ac:dyDescent="0.25">
      <c r="AO1540" s="62"/>
    </row>
    <row r="1541" spans="41:41" x14ac:dyDescent="0.25">
      <c r="AO1541" s="62"/>
    </row>
    <row r="1542" spans="41:41" x14ac:dyDescent="0.25">
      <c r="AO1542" s="62"/>
    </row>
    <row r="1543" spans="41:41" x14ac:dyDescent="0.25">
      <c r="AO1543" s="62"/>
    </row>
    <row r="1544" spans="41:41" x14ac:dyDescent="0.25">
      <c r="AO1544" s="62"/>
    </row>
    <row r="1545" spans="41:41" x14ac:dyDescent="0.25">
      <c r="AO1545" s="62"/>
    </row>
    <row r="1546" spans="41:41" x14ac:dyDescent="0.25">
      <c r="AO1546" s="62"/>
    </row>
    <row r="1547" spans="41:41" x14ac:dyDescent="0.25">
      <c r="AO1547" s="62"/>
    </row>
    <row r="1548" spans="41:41" x14ac:dyDescent="0.25">
      <c r="AO1548" s="62"/>
    </row>
    <row r="1549" spans="41:41" x14ac:dyDescent="0.25">
      <c r="AO1549" s="62"/>
    </row>
    <row r="1550" spans="41:41" x14ac:dyDescent="0.25">
      <c r="AO1550" s="62"/>
    </row>
    <row r="1551" spans="41:41" x14ac:dyDescent="0.25">
      <c r="AO1551" s="62"/>
    </row>
    <row r="1552" spans="41:41"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sheetProtection algorithmName="SHA-512" hashValue="3fcFO8hZzcXSrOmiPo2w6CIWJ+QOBwLoqdll+1dWpZAUTCcRBs6WZ4Z4QIoWAl39HSrT/k/r3BrpWJWKhlmAWg==" saltValue="F+LUW9km7dL8OMQpiLIm+A==" spinCount="100000" sheet="1" objects="1" scenarios="1"/>
  <mergeCells count="822">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AL2:AT2"/>
    <mergeCell ref="AC3:AD3"/>
    <mergeCell ref="AG3:AH3"/>
    <mergeCell ref="AI3:AJ3"/>
    <mergeCell ref="AL3:AM3"/>
    <mergeCell ref="AP3:AQ3"/>
    <mergeCell ref="AR3:AS3"/>
    <mergeCell ref="AL4:AM4"/>
    <mergeCell ref="AP4:AQ4"/>
    <mergeCell ref="AR4:AS4"/>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95:F95"/>
    <mergeCell ref="E96:F96"/>
    <mergeCell ref="E97:F97"/>
    <mergeCell ref="E98:F98"/>
    <mergeCell ref="G95:H95"/>
    <mergeCell ref="G96:H96"/>
    <mergeCell ref="G97:H97"/>
    <mergeCell ref="G98:H98"/>
    <mergeCell ref="B97:C97"/>
    <mergeCell ref="E101:F101"/>
    <mergeCell ref="E102:F102"/>
    <mergeCell ref="E103:F103"/>
    <mergeCell ref="G99:H99"/>
    <mergeCell ref="G100:H100"/>
    <mergeCell ref="G101:H101"/>
    <mergeCell ref="G102:H102"/>
    <mergeCell ref="G103:H103"/>
    <mergeCell ref="E104:F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s>
  <conditionalFormatting sqref="B23:H108">
    <cfRule type="expression" dxfId="42" priority="11">
      <formula>$X$2=1</formula>
    </cfRule>
  </conditionalFormatting>
  <conditionalFormatting sqref="B36:H36">
    <cfRule type="expression" dxfId="41" priority="12">
      <formula>$E$12=12</formula>
    </cfRule>
  </conditionalFormatting>
  <conditionalFormatting sqref="B48:H48">
    <cfRule type="expression" dxfId="40" priority="13">
      <formula>$E$12=24</formula>
    </cfRule>
  </conditionalFormatting>
  <conditionalFormatting sqref="B60:H60">
    <cfRule type="expression" dxfId="39" priority="14">
      <formula>$E$12=36</formula>
    </cfRule>
  </conditionalFormatting>
  <conditionalFormatting sqref="B72:H72">
    <cfRule type="expression" dxfId="38" priority="15">
      <formula>$E$12=48</formula>
    </cfRule>
  </conditionalFormatting>
  <conditionalFormatting sqref="B84:H84">
    <cfRule type="expression" dxfId="37" priority="16">
      <formula>$E$12=60</formula>
    </cfRule>
  </conditionalFormatting>
  <conditionalFormatting sqref="B96:H96">
    <cfRule type="expression" dxfId="36" priority="17">
      <formula>$E$12=72</formula>
    </cfRule>
  </conditionalFormatting>
  <conditionalFormatting sqref="B108:H108">
    <cfRule type="expression" dxfId="35" priority="18">
      <formula>$E$12=84</formula>
    </cfRule>
  </conditionalFormatting>
  <conditionalFormatting sqref="B22:N22">
    <cfRule type="expression" dxfId="34" priority="1">
      <formula>$X$2=1</formula>
    </cfRule>
  </conditionalFormatting>
  <conditionalFormatting sqref="E4">
    <cfRule type="expression" dxfId="33" priority="22">
      <formula>$V$3=0</formula>
    </cfRule>
  </conditionalFormatting>
  <conditionalFormatting sqref="E9">
    <cfRule type="cellIs" dxfId="32" priority="21" stopIfTrue="1" operator="equal">
      <formula>0.001</formula>
    </cfRule>
  </conditionalFormatting>
  <conditionalFormatting sqref="E14">
    <cfRule type="cellIs" dxfId="31" priority="57" stopIfTrue="1" operator="equal">
      <formula>0.001</formula>
    </cfRule>
  </conditionalFormatting>
  <conditionalFormatting sqref="E19">
    <cfRule type="cellIs" dxfId="30" priority="53" stopIfTrue="1" operator="equal">
      <formula>0.001</formula>
    </cfRule>
  </conditionalFormatting>
  <conditionalFormatting sqref="E21">
    <cfRule type="expression" dxfId="29" priority="6">
      <formula>$X$2=1</formula>
    </cfRule>
  </conditionalFormatting>
  <conditionalFormatting sqref="E4:F4">
    <cfRule type="cellIs" dxfId="28" priority="20" operator="equal">
      <formula>0</formula>
    </cfRule>
  </conditionalFormatting>
  <conditionalFormatting sqref="E12:F12">
    <cfRule type="cellIs" dxfId="27" priority="19" operator="equal">
      <formula>0</formula>
    </cfRule>
  </conditionalFormatting>
  <conditionalFormatting sqref="E14:F14">
    <cfRule type="expression" dxfId="26" priority="29" stopIfTrue="1">
      <formula>$X$2=1</formula>
    </cfRule>
  </conditionalFormatting>
  <conditionalFormatting sqref="E16:F17">
    <cfRule type="expression" dxfId="25" priority="28">
      <formula>$X$2=1</formula>
    </cfRule>
  </conditionalFormatting>
  <conditionalFormatting sqref="E19:F19">
    <cfRule type="expression" dxfId="24" priority="45">
      <formula>$X$2=1</formula>
    </cfRule>
  </conditionalFormatting>
  <conditionalFormatting sqref="F8">
    <cfRule type="expression" dxfId="23" priority="50">
      <formula>$X$3=0</formula>
    </cfRule>
  </conditionalFormatting>
  <conditionalFormatting sqref="F10">
    <cfRule type="expression" dxfId="22" priority="48">
      <formula>$X$3=0</formula>
    </cfRule>
  </conditionalFormatting>
  <conditionalFormatting sqref="N2">
    <cfRule type="expression" dxfId="21" priority="39">
      <formula>$U$4=1</formula>
    </cfRule>
  </conditionalFormatting>
  <conditionalFormatting sqref="N4">
    <cfRule type="expression" dxfId="20" priority="2" stopIfTrue="1">
      <formula>$U$4=1</formula>
    </cfRule>
    <cfRule type="expression" dxfId="19" priority="3">
      <formula>$X$4=1</formula>
    </cfRule>
  </conditionalFormatting>
  <conditionalFormatting sqref="N6">
    <cfRule type="expression" dxfId="18" priority="32">
      <formula>$X$2=1</formula>
    </cfRule>
    <cfRule type="expression" dxfId="17" priority="33">
      <formula>$U$4=1</formula>
    </cfRule>
  </conditionalFormatting>
  <conditionalFormatting sqref="N8">
    <cfRule type="expression" dxfId="16" priority="43">
      <formula>$X$2=1</formula>
    </cfRule>
  </conditionalFormatting>
  <conditionalFormatting sqref="N10">
    <cfRule type="expression" dxfId="15" priority="23">
      <formula>$X$2=1</formula>
    </cfRule>
  </conditionalFormatting>
  <conditionalFormatting sqref="N13:N14">
    <cfRule type="expression" dxfId="14" priority="27">
      <formula>$X$2=1</formula>
    </cfRule>
  </conditionalFormatting>
  <conditionalFormatting sqref="N16">
    <cfRule type="expression" dxfId="13" priority="31">
      <formula>$X$2=1</formula>
    </cfRule>
  </conditionalFormatting>
  <conditionalFormatting sqref="N18:N19">
    <cfRule type="expression" dxfId="12" priority="26">
      <formula>$X$2=1</formula>
    </cfRule>
  </conditionalFormatting>
  <conditionalFormatting sqref="N21">
    <cfRule type="expression" dxfId="11" priority="34">
      <formula>$X$2=1</formula>
    </cfRule>
  </conditionalFormatting>
  <conditionalFormatting sqref="U2">
    <cfRule type="cellIs" dxfId="10" priority="56" stopIfTrue="1" operator="equal">
      <formula>"Авансовий платіж достатній"</formula>
    </cfRule>
  </conditionalFormatting>
  <conditionalFormatting sqref="X18">
    <cfRule type="cellIs" dxfId="9" priority="80" stopIfTrue="1" operator="equal">
      <formula>#REF!=$S$28</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AV1" zoomScale="80" zoomScaleNormal="80" zoomScaleSheetLayoutView="80" workbookViewId="0">
      <selection sqref="A1:AU1048576"/>
    </sheetView>
  </sheetViews>
  <sheetFormatPr defaultColWidth="8.7109375" defaultRowHeight="15" x14ac:dyDescent="0.25"/>
  <cols>
    <col min="1" max="2" width="8.7109375" style="215" hidden="1" customWidth="1"/>
    <col min="3" max="3" width="13.28515625" style="215" hidden="1" customWidth="1"/>
    <col min="4" max="4" width="12.42578125" style="215" hidden="1" customWidth="1"/>
    <col min="5" max="47" width="8.7109375" style="215" hidden="1" customWidth="1"/>
    <col min="48" max="84" width="8.7109375" style="215" customWidth="1"/>
    <col min="85" max="85" width="8.7109375" style="215"/>
    <col min="86" max="16384" width="8.7109375" style="160"/>
  </cols>
  <sheetData>
    <row r="1" spans="2:94" x14ac:dyDescent="0.25">
      <c r="B1" s="216"/>
      <c r="C1" s="217"/>
      <c r="D1" s="217"/>
      <c r="Q1" s="215" t="s">
        <v>223</v>
      </c>
      <c r="AB1" s="215" t="s">
        <v>76</v>
      </c>
      <c r="AK1" s="215" t="s">
        <v>77</v>
      </c>
    </row>
    <row r="2" spans="2:94" x14ac:dyDescent="0.25">
      <c r="B2" s="218" t="s">
        <v>283</v>
      </c>
      <c r="C2" s="219"/>
      <c r="D2" s="219"/>
      <c r="G2" s="215" t="s">
        <v>225</v>
      </c>
      <c r="I2" s="215" t="s">
        <v>4</v>
      </c>
      <c r="N2" s="215" t="s">
        <v>228</v>
      </c>
      <c r="Q2" s="215">
        <v>12</v>
      </c>
      <c r="AB2" s="215" t="s">
        <v>231</v>
      </c>
      <c r="AK2" s="215" t="s">
        <v>231</v>
      </c>
    </row>
    <row r="3" spans="2:94" x14ac:dyDescent="0.25">
      <c r="C3" s="220"/>
      <c r="D3" s="220"/>
      <c r="Q3" s="215">
        <v>24</v>
      </c>
      <c r="AA3" s="215" t="s">
        <v>237</v>
      </c>
      <c r="AB3" s="215" t="s">
        <v>182</v>
      </c>
      <c r="AD3" s="215" t="s">
        <v>233</v>
      </c>
      <c r="AE3" s="215" t="s">
        <v>234</v>
      </c>
      <c r="AF3" s="215" t="s">
        <v>235</v>
      </c>
      <c r="AH3" s="215" t="s">
        <v>236</v>
      </c>
      <c r="AJ3" s="215" t="s">
        <v>237</v>
      </c>
      <c r="AK3" s="215" t="s">
        <v>182</v>
      </c>
      <c r="AM3" s="215" t="s">
        <v>233</v>
      </c>
      <c r="AN3" s="215" t="s">
        <v>234</v>
      </c>
      <c r="AO3" s="215" t="s">
        <v>235</v>
      </c>
      <c r="AQ3" s="215" t="s">
        <v>236</v>
      </c>
      <c r="AS3" s="215" t="s">
        <v>188</v>
      </c>
    </row>
    <row r="4" spans="2:94" x14ac:dyDescent="0.25">
      <c r="B4" s="215" t="s">
        <v>238</v>
      </c>
      <c r="C4" s="220"/>
      <c r="D4" s="220"/>
      <c r="G4" s="215">
        <f>'Калькулятор '!E4</f>
        <v>1000000</v>
      </c>
      <c r="I4" s="215" t="s">
        <v>284</v>
      </c>
      <c r="N4" s="215" t="str">
        <f>IF($G$4&gt;0,$P$40,"Ні")</f>
        <v/>
      </c>
      <c r="Q4" s="215">
        <v>36</v>
      </c>
      <c r="S4" s="215">
        <f>IF($G$6=0,1,IF($G$4*$G$6=$G$7,2,3))</f>
        <v>3</v>
      </c>
      <c r="T4" s="215">
        <f>IF(G2="Сума авансового платежу перевищує вартість авто",1,IF(G2="Сума авансового платежу дорівнює вартості авто",1,IF(G2="Сума авансового платежу недостатня",1,0)))</f>
        <v>0</v>
      </c>
      <c r="AA4" s="215">
        <f ca="1">Ануїтетна_графік_Авто!G5</f>
        <v>46148</v>
      </c>
      <c r="AB4" s="215">
        <v>1</v>
      </c>
      <c r="AD4" s="215">
        <f ca="1">Ануїтетна_графік_Авто!J5</f>
        <v>26805</v>
      </c>
      <c r="AF4" s="215">
        <f ca="1">Ануїтетна_графік_Авто!K5</f>
        <v>6200.0000000000009</v>
      </c>
      <c r="AH4" s="215">
        <f ca="1">Ануїтетна_графік_Авто!M5</f>
        <v>33005</v>
      </c>
      <c r="AJ4" s="215">
        <f ca="1">Ануїтетна_графік_Авто!G5</f>
        <v>46148</v>
      </c>
      <c r="AK4" s="215">
        <v>1</v>
      </c>
      <c r="AM4" s="215">
        <f ca="1">Ануїтетна_графік_Авто!J5</f>
        <v>26805</v>
      </c>
      <c r="AO4" s="215">
        <f ca="1">Ануїтетна_графік_Авто!K5</f>
        <v>6200.0000000000009</v>
      </c>
      <c r="AQ4" s="215">
        <f ca="1">Ануїтетна_графік_Авто!M5</f>
        <v>33005</v>
      </c>
    </row>
    <row r="5" spans="2:94" x14ac:dyDescent="0.25">
      <c r="C5" s="220"/>
      <c r="D5" s="220"/>
      <c r="Q5" s="215">
        <v>48</v>
      </c>
      <c r="AA5" s="215">
        <f ca="1">Ануїтетна_графік_Авто!G6</f>
        <v>46179</v>
      </c>
      <c r="AB5" s="215">
        <v>2</v>
      </c>
      <c r="AD5" s="215">
        <f ca="1">Ануїтетна_графік_Авто!J6</f>
        <v>26812.996708333332</v>
      </c>
      <c r="AF5" s="215">
        <f ca="1">Ануїтетна_графік_Авто!K6</f>
        <v>6192.0032916666678</v>
      </c>
      <c r="AH5" s="215">
        <f ca="1">Ануїтетна_графік_Авто!M6</f>
        <v>33005</v>
      </c>
      <c r="AJ5" s="215">
        <f t="shared" ref="AJ5:AJ68" ca="1" si="0">IF(AK5="","",DATE(YEAR(AJ4),MONTH(AJ4)+2,DAY(1)-1))</f>
        <v>46203</v>
      </c>
      <c r="AK5" s="215">
        <v>2</v>
      </c>
      <c r="AM5" s="215">
        <f ca="1">Ануїтетна_графік_Авто!J6</f>
        <v>26812.996708333332</v>
      </c>
      <c r="AO5" s="215">
        <f ca="1">Ануїтетна_графік_Авто!K6</f>
        <v>6192.0032916666678</v>
      </c>
      <c r="AQ5" s="215">
        <f ca="1">Ануїтетна_графік_Авто!M6</f>
        <v>33005</v>
      </c>
      <c r="AS5" s="215">
        <f ca="1">$G$19-AM4</f>
        <v>673195</v>
      </c>
    </row>
    <row r="6" spans="2:94" x14ac:dyDescent="0.25">
      <c r="B6" s="215" t="s">
        <v>516</v>
      </c>
      <c r="C6" s="220"/>
      <c r="D6" s="220"/>
      <c r="G6" s="215">
        <v>300000</v>
      </c>
      <c r="I6" s="215" t="s">
        <v>254</v>
      </c>
      <c r="N6" s="215">
        <f>Q40</f>
        <v>9.3000000000000007</v>
      </c>
      <c r="Q6" s="215">
        <v>60</v>
      </c>
      <c r="AA6" s="215">
        <f ca="1">Ануїтетна_графік_Авто!G7</f>
        <v>46209</v>
      </c>
      <c r="AB6" s="215">
        <v>3</v>
      </c>
      <c r="AD6" s="215">
        <f ca="1">Ануїтетна_графік_Авто!J7</f>
        <v>27220.539474489582</v>
      </c>
      <c r="AF6" s="215">
        <f ca="1">Ануїтетна_графік_Авто!K7</f>
        <v>5784.4605255104161</v>
      </c>
      <c r="AH6" s="215">
        <f ca="1">Ануїтетна_графік_Авто!M7</f>
        <v>33005</v>
      </c>
      <c r="AJ6" s="215">
        <f t="shared" ca="1" si="0"/>
        <v>46234</v>
      </c>
      <c r="AK6" s="215">
        <v>3</v>
      </c>
      <c r="AM6" s="215">
        <f ca="1">Ануїтетна_графік_Авто!J7</f>
        <v>27220.539474489582</v>
      </c>
      <c r="AO6" s="215">
        <f ca="1">Ануїтетна_графік_Авто!K7</f>
        <v>5784.4605255104161</v>
      </c>
      <c r="AQ6" s="215">
        <f ca="1">Ануїтетна_графік_Авто!M7</f>
        <v>33005</v>
      </c>
      <c r="AS6" s="215">
        <f t="shared" ref="AS6:AS69" ca="1" si="1">AS5-AM5</f>
        <v>646382.00329166662</v>
      </c>
    </row>
    <row r="7" spans="2:94" x14ac:dyDescent="0.25">
      <c r="B7" s="215" t="s">
        <v>285</v>
      </c>
      <c r="C7" s="220"/>
      <c r="D7" s="220"/>
      <c r="G7" s="215">
        <f>IF(G6="","",IF(G6&lt;100,G4*G6,G6/G4))</f>
        <v>0.3</v>
      </c>
      <c r="AA7" s="215">
        <f ca="1">Ануїтетна_графік_Авто!G8</f>
        <v>46240</v>
      </c>
      <c r="AB7" s="215">
        <v>4</v>
      </c>
      <c r="AD7" s="215">
        <f ca="1">Ануїтетна_графік_Авто!J8</f>
        <v>27245.715277264106</v>
      </c>
      <c r="AF7" s="215">
        <f ca="1">Ануїтетна_графік_Авто!K8</f>
        <v>5759.2847227358934</v>
      </c>
      <c r="AH7" s="215">
        <f ca="1">Ануїтетна_графік_Авто!M8</f>
        <v>33005</v>
      </c>
      <c r="AJ7" s="215">
        <f t="shared" ca="1" si="0"/>
        <v>46265</v>
      </c>
      <c r="AK7" s="215">
        <v>4</v>
      </c>
      <c r="AM7" s="215">
        <f ca="1">Ануїтетна_графік_Авто!J8</f>
        <v>27245.715277264106</v>
      </c>
      <c r="AO7" s="215">
        <f ca="1">Ануїтетна_графік_Авто!K8</f>
        <v>5759.2847227358934</v>
      </c>
      <c r="AQ7" s="215">
        <f ca="1">Ануїтетна_графік_Авто!M8</f>
        <v>33005</v>
      </c>
      <c r="AS7" s="215">
        <f t="shared" ca="1" si="1"/>
        <v>619161.46381717699</v>
      </c>
      <c r="CP7" s="160" t="s">
        <v>286</v>
      </c>
    </row>
    <row r="8" spans="2:94" x14ac:dyDescent="0.25">
      <c r="C8" s="220"/>
      <c r="D8" s="220"/>
      <c r="I8" s="215" t="s">
        <v>252</v>
      </c>
      <c r="N8" s="215">
        <f>'Калькулятор '!E12</f>
        <v>36</v>
      </c>
      <c r="AA8" s="215">
        <f ca="1">Ануїтетна_графік_Авто!G9</f>
        <v>46271</v>
      </c>
      <c r="AB8" s="215">
        <v>5</v>
      </c>
      <c r="AD8" s="215">
        <f ca="1">Ануїтетна_графік_Авто!J9</f>
        <v>27463.908047109529</v>
      </c>
      <c r="AF8" s="215">
        <f ca="1">Ануїтетна_графік_Авто!K9</f>
        <v>5541.0919528904687</v>
      </c>
      <c r="AH8" s="215">
        <f ca="1">Ануїтетна_графік_Авто!M9</f>
        <v>33005</v>
      </c>
      <c r="AJ8" s="215">
        <f t="shared" ca="1" si="0"/>
        <v>46295</v>
      </c>
      <c r="AK8" s="215">
        <v>5</v>
      </c>
      <c r="AM8" s="215">
        <f ca="1">Ануїтетна_графік_Авто!J9</f>
        <v>27463.908047109529</v>
      </c>
      <c r="AO8" s="215">
        <f ca="1">Ануїтетна_графік_Авто!K9</f>
        <v>5541.0919528904687</v>
      </c>
      <c r="AQ8" s="215">
        <f ca="1">Ануїтетна_графік_Авто!M9</f>
        <v>33005</v>
      </c>
      <c r="AS8" s="215">
        <f t="shared" ca="1" si="1"/>
        <v>591915.74853991286</v>
      </c>
    </row>
    <row r="9" spans="2:94" x14ac:dyDescent="0.25">
      <c r="B9" s="215" t="s">
        <v>287</v>
      </c>
      <c r="C9" s="220"/>
      <c r="D9" s="220"/>
      <c r="G9" s="215">
        <f>Q49</f>
        <v>2.99</v>
      </c>
      <c r="AA9" s="215">
        <f ca="1">Ануїтетна_графік_Авто!G10</f>
        <v>46301</v>
      </c>
      <c r="AB9" s="215">
        <v>6</v>
      </c>
      <c r="AD9" s="215">
        <f ca="1">Ануїтетна_графік_Авто!J10</f>
        <v>27855.498236180774</v>
      </c>
      <c r="AF9" s="215">
        <f ca="1">Ануїтетна_графік_Авто!K10</f>
        <v>5149.5017638192267</v>
      </c>
      <c r="AH9" s="215">
        <f ca="1">Ануїтетна_графік_Авто!M10</f>
        <v>33005</v>
      </c>
      <c r="AJ9" s="215">
        <f t="shared" ca="1" si="0"/>
        <v>46326</v>
      </c>
      <c r="AK9" s="215">
        <v>6</v>
      </c>
      <c r="AM9" s="215">
        <f ca="1">Ануїтетна_графік_Авто!J10</f>
        <v>27855.498236180774</v>
      </c>
      <c r="AO9" s="215">
        <f ca="1">Ануїтетна_графік_Авто!K10</f>
        <v>5149.5017638192267</v>
      </c>
      <c r="AQ9" s="215">
        <f ca="1">Ануїтетна_графік_Авто!M10</f>
        <v>33005</v>
      </c>
      <c r="AS9" s="215">
        <f t="shared" ca="1" si="1"/>
        <v>564451.84049280337</v>
      </c>
    </row>
    <row r="10" spans="2:94" x14ac:dyDescent="0.25">
      <c r="C10" s="220"/>
      <c r="D10" s="220"/>
      <c r="G10" s="215">
        <f>IF(Q15="",0,ROUND(Q15*G9,2))</f>
        <v>2093000</v>
      </c>
      <c r="AA10" s="215">
        <f ca="1">Ануїтетна_графік_Авто!G11</f>
        <v>46332</v>
      </c>
      <c r="AB10" s="215">
        <v>7</v>
      </c>
      <c r="AD10" s="215">
        <f ca="1">Ануїтетна_графік_Авто!J11</f>
        <v>27906.924292428215</v>
      </c>
      <c r="AF10" s="215">
        <f ca="1">Ануїтетна_графік_Авто!K11</f>
        <v>5098.0757075717866</v>
      </c>
      <c r="AH10" s="215">
        <f ca="1">Ануїтетна_графік_Авто!M11</f>
        <v>33005</v>
      </c>
      <c r="AJ10" s="215">
        <f t="shared" ca="1" si="0"/>
        <v>46356</v>
      </c>
      <c r="AK10" s="215">
        <v>7</v>
      </c>
      <c r="AM10" s="215">
        <f ca="1">Ануїтетна_графік_Авто!J11</f>
        <v>27906.924292428215</v>
      </c>
      <c r="AO10" s="215">
        <f ca="1">Ануїтетна_графік_Авто!K11</f>
        <v>5098.0757075717866</v>
      </c>
      <c r="AQ10" s="215">
        <f ca="1">Ануїтетна_графік_Авто!M11</f>
        <v>33005</v>
      </c>
      <c r="AS10" s="215">
        <f t="shared" ca="1" si="1"/>
        <v>536596.34225662262</v>
      </c>
    </row>
    <row r="11" spans="2:94" x14ac:dyDescent="0.25">
      <c r="H11" s="215" t="s">
        <v>288</v>
      </c>
      <c r="Q11" s="215" t="s">
        <v>251</v>
      </c>
      <c r="AA11" s="215">
        <f ca="1">Ануїтетна_графік_Авто!G12</f>
        <v>46362</v>
      </c>
      <c r="AB11" s="215">
        <v>8</v>
      </c>
      <c r="AD11" s="215">
        <f ca="1">Ануїтетна_графік_Авто!J12</f>
        <v>28287.657010777493</v>
      </c>
      <c r="AF11" s="215">
        <f ca="1">Ануїтетна_графік_Авто!K12</f>
        <v>4717.3429892225076</v>
      </c>
      <c r="AH11" s="215">
        <f ca="1">Ануїтетна_графік_Авто!M12</f>
        <v>33005</v>
      </c>
      <c r="AJ11" s="215">
        <f t="shared" ca="1" si="0"/>
        <v>46387</v>
      </c>
      <c r="AK11" s="215">
        <v>8</v>
      </c>
      <c r="AM11" s="215">
        <f ca="1">Ануїтетна_графік_Авто!J12</f>
        <v>28287.657010777493</v>
      </c>
      <c r="AO11" s="215">
        <f ca="1">Ануїтетна_графік_Авто!K12</f>
        <v>4717.3429892225076</v>
      </c>
      <c r="AQ11" s="215">
        <f ca="1">Ануїтетна_графік_Авто!M12</f>
        <v>33005</v>
      </c>
      <c r="AS11" s="215">
        <f t="shared" ca="1" si="1"/>
        <v>508689.41796419444</v>
      </c>
    </row>
    <row r="12" spans="2:94" x14ac:dyDescent="0.25">
      <c r="B12" s="218" t="s">
        <v>289</v>
      </c>
      <c r="C12" s="218"/>
      <c r="H12" s="215">
        <v>0</v>
      </c>
      <c r="I12" s="215" t="s">
        <v>290</v>
      </c>
      <c r="N12" s="215">
        <f>ROUND(Q16*G12,2)+(G12*IF(G16="Так",N15,0))</f>
        <v>0</v>
      </c>
      <c r="Q12" s="215">
        <f>IF(OR(Q2=N8,Q3=N8),2.99%,0%)</f>
        <v>0</v>
      </c>
      <c r="AA12" s="215">
        <f ca="1">Ануїтетна_графік_Авто!G13</f>
        <v>46393</v>
      </c>
      <c r="AB12" s="215">
        <v>9</v>
      </c>
      <c r="AD12" s="215">
        <f ca="1">Ануїтетна_графік_Авто!J13</f>
        <v>28356.949231031387</v>
      </c>
      <c r="AF12" s="215">
        <f ca="1">Ануїтетна_графік_Авто!K13</f>
        <v>4648.0507689686137</v>
      </c>
      <c r="AH12" s="215">
        <f ca="1">Ануїтетна_графік_Авто!M13</f>
        <v>33005</v>
      </c>
      <c r="AJ12" s="215">
        <f t="shared" ca="1" si="0"/>
        <v>46418</v>
      </c>
      <c r="AK12" s="215">
        <v>9</v>
      </c>
      <c r="AM12" s="215">
        <f ca="1">Ануїтетна_графік_Авто!J13</f>
        <v>28356.949231031387</v>
      </c>
      <c r="AO12" s="215">
        <f ca="1">Ануїтетна_графік_Авто!K13</f>
        <v>4648.0507689686137</v>
      </c>
      <c r="AQ12" s="215">
        <f ca="1">Ануїтетна_графік_Авто!M13</f>
        <v>33005</v>
      </c>
      <c r="AS12" s="215">
        <f t="shared" ca="1" si="1"/>
        <v>480401.76095341693</v>
      </c>
    </row>
    <row r="13" spans="2:94" x14ac:dyDescent="0.25">
      <c r="B13" s="215" t="s">
        <v>291</v>
      </c>
      <c r="C13" s="220"/>
      <c r="Q13" s="215">
        <f>IF(Q12=0,0%,5.99%)</f>
        <v>0</v>
      </c>
      <c r="AA13" s="215">
        <f ca="1">Ануїтетна_графік_Авто!G14</f>
        <v>46424</v>
      </c>
      <c r="AB13" s="215">
        <v>10</v>
      </c>
      <c r="AD13" s="215">
        <f ca="1">Ануїтетна_графік_Авто!J14</f>
        <v>28584.041132789895</v>
      </c>
      <c r="AF13" s="215">
        <f ca="1">Ануїтетна_графік_Авто!K14</f>
        <v>4420.9588672101054</v>
      </c>
      <c r="AH13" s="215">
        <f ca="1">Ануїтетна_графік_Авто!M14</f>
        <v>33005</v>
      </c>
      <c r="AJ13" s="215">
        <f t="shared" ca="1" si="0"/>
        <v>46446</v>
      </c>
      <c r="AK13" s="215">
        <v>10</v>
      </c>
      <c r="AM13" s="215">
        <f ca="1">Ануїтетна_графік_Авто!J14</f>
        <v>28584.041132789895</v>
      </c>
      <c r="AO13" s="215">
        <f ca="1">Ануїтетна_графік_Авто!K14</f>
        <v>4420.9588672101054</v>
      </c>
      <c r="AQ13" s="215">
        <f ca="1">Ануїтетна_графік_Авто!M14</f>
        <v>33005</v>
      </c>
      <c r="AS13" s="215">
        <f t="shared" ca="1" si="1"/>
        <v>452044.81172238552</v>
      </c>
    </row>
    <row r="14" spans="2:94" x14ac:dyDescent="0.25">
      <c r="C14" s="220"/>
      <c r="Q14" s="215" t="s">
        <v>172</v>
      </c>
      <c r="W14" s="215" t="s">
        <v>255</v>
      </c>
      <c r="AA14" s="215">
        <f ca="1">Ануїтетна_графік_Авто!G15</f>
        <v>46452</v>
      </c>
      <c r="AB14" s="215">
        <v>11</v>
      </c>
      <c r="AD14" s="215">
        <f ca="1">Ануїтетна_графік_Авто!J15</f>
        <v>29218.633759401924</v>
      </c>
      <c r="AF14" s="215">
        <f ca="1">Ануїтетна_графік_Авто!K15</f>
        <v>3786.3662405980754</v>
      </c>
      <c r="AH14" s="215">
        <f ca="1">Ануїтетна_графік_Авто!M15</f>
        <v>33005</v>
      </c>
      <c r="AJ14" s="215">
        <f t="shared" ca="1" si="0"/>
        <v>46477</v>
      </c>
      <c r="AK14" s="215">
        <v>11</v>
      </c>
      <c r="AM14" s="215">
        <f ca="1">Ануїтетна_графік_Авто!J15</f>
        <v>29218.633759401924</v>
      </c>
      <c r="AO14" s="215">
        <f ca="1">Ануїтетна_графік_Авто!K15</f>
        <v>3786.3662405980754</v>
      </c>
      <c r="AQ14" s="215">
        <f ca="1">Ануїтетна_графік_Авто!M15</f>
        <v>33005</v>
      </c>
      <c r="AS14" s="215">
        <f t="shared" ca="1" si="1"/>
        <v>423460.7705895956</v>
      </c>
    </row>
    <row r="15" spans="2:94" x14ac:dyDescent="0.25">
      <c r="B15" s="215" t="s">
        <v>292</v>
      </c>
      <c r="C15" s="220"/>
      <c r="G15" s="215">
        <v>5.16E-2</v>
      </c>
      <c r="I15" s="215" t="s">
        <v>293</v>
      </c>
      <c r="N15" s="215">
        <f>ROUND(G4*G15,2)</f>
        <v>51600</v>
      </c>
      <c r="P15" s="215" t="s">
        <v>256</v>
      </c>
      <c r="Q15" s="215">
        <f>$G$4-IF($S$4=1,0,IF($S$4=3,$G$6,IF($S$4=2,$G$4*$G$6)))+IF($G$13="Так",$N$12,0)+IF($G$16="Так",$N$15,0)</f>
        <v>700000</v>
      </c>
      <c r="W15" s="215" t="s">
        <v>16</v>
      </c>
      <c r="AA15" s="215">
        <f ca="1">Ануїтетна_графік_Авто!G16</f>
        <v>46483</v>
      </c>
      <c r="AB15" s="215">
        <v>12</v>
      </c>
      <c r="AD15" s="215">
        <f ca="1">Ануїтетна_графік_Авто!J16</f>
        <v>29046.944220884863</v>
      </c>
      <c r="AF15" s="215">
        <f ca="1">Ануїтетна_графік_Авто!K16</f>
        <v>3958.0557791151355</v>
      </c>
      <c r="AH15" s="215">
        <f ca="1">Ануїтетна_графік_Авто!M16</f>
        <v>33005</v>
      </c>
      <c r="AJ15" s="215">
        <f t="shared" ca="1" si="0"/>
        <v>46507</v>
      </c>
      <c r="AK15" s="215">
        <v>12</v>
      </c>
      <c r="AM15" s="215">
        <f ca="1">Ануїтетна_графік_Авто!J16</f>
        <v>29046.944220884863</v>
      </c>
      <c r="AO15" s="215">
        <f ca="1">Ануїтетна_графік_Авто!K16</f>
        <v>3958.0557791151355</v>
      </c>
      <c r="AQ15" s="215">
        <f ca="1">Ануїтетна_графік_Авто!M16</f>
        <v>33005</v>
      </c>
      <c r="AS15" s="215">
        <f t="shared" ca="1" si="1"/>
        <v>394242.13683019369</v>
      </c>
    </row>
    <row r="16" spans="2:94" x14ac:dyDescent="0.25">
      <c r="C16" s="220"/>
      <c r="P16" s="215" t="s">
        <v>294</v>
      </c>
      <c r="Q16" s="215">
        <f>$G$4-IF($S$4=3,$G$6,IF($S$4=2,$G$4*$G$6))</f>
        <v>700000</v>
      </c>
      <c r="AA16" s="215">
        <f ca="1">Ануїтетна_графік_Авто!G17</f>
        <v>46513</v>
      </c>
      <c r="AB16" s="215">
        <v>13</v>
      </c>
      <c r="AD16" s="215">
        <f ca="1">Ануїтетна_графік_Авто!J17</f>
        <v>29399.737257277855</v>
      </c>
      <c r="AF16" s="215">
        <f ca="1">Ануїтетна_графік_Авто!K17</f>
        <v>3605.2627427221441</v>
      </c>
      <c r="AH16" s="215">
        <f ca="1">Ануїтетна_графік_Авто!M17</f>
        <v>33005</v>
      </c>
      <c r="AJ16" s="215">
        <f t="shared" ca="1" si="0"/>
        <v>46538</v>
      </c>
      <c r="AK16" s="215">
        <v>13</v>
      </c>
      <c r="AM16" s="215">
        <f ca="1">Ануїтетна_графік_Авто!J17</f>
        <v>29399.737257277855</v>
      </c>
      <c r="AO16" s="215">
        <f ca="1">Ануїтетна_графік_Авто!K17</f>
        <v>3605.2627427221441</v>
      </c>
      <c r="AQ16" s="215">
        <f ca="1">Ануїтетна_графік_Авто!M17</f>
        <v>33005</v>
      </c>
      <c r="AS16" s="215">
        <f t="shared" ca="1" si="1"/>
        <v>365195.19260930881</v>
      </c>
    </row>
    <row r="17" spans="2:45" x14ac:dyDescent="0.25">
      <c r="C17" s="220"/>
      <c r="W17" s="215" t="s">
        <v>228</v>
      </c>
      <c r="AA17" s="215">
        <f ca="1">Ануїтетна_графік_Авто!G18</f>
        <v>46544</v>
      </c>
      <c r="AB17" s="215">
        <v>14</v>
      </c>
      <c r="AD17" s="215">
        <f ca="1">Ануїтетна_графік_Авто!J18</f>
        <v>29515.004728389151</v>
      </c>
      <c r="AF17" s="215">
        <f ca="1">Ануїтетна_графік_Авто!K18</f>
        <v>3489.9952716108487</v>
      </c>
      <c r="AH17" s="215">
        <f ca="1">Ануїтетна_графік_Авто!M18</f>
        <v>33005</v>
      </c>
      <c r="AJ17" s="215">
        <f t="shared" ca="1" si="0"/>
        <v>46568</v>
      </c>
      <c r="AK17" s="215">
        <v>14</v>
      </c>
      <c r="AM17" s="215">
        <f ca="1">Ануїтетна_графік_Авто!J18</f>
        <v>29515.004728389151</v>
      </c>
      <c r="AO17" s="215">
        <f ca="1">Ануїтетна_графік_Авто!K18</f>
        <v>3489.9952716108487</v>
      </c>
      <c r="AQ17" s="215">
        <f ca="1">Ануїтетна_графік_Авто!M18</f>
        <v>33005</v>
      </c>
      <c r="AS17" s="215">
        <f t="shared" ca="1" si="1"/>
        <v>335795.45535203093</v>
      </c>
    </row>
    <row r="18" spans="2:45" x14ac:dyDescent="0.25">
      <c r="W18" s="215" t="str">
        <f>IF(OR(G2=R28,G2=R31),"Класична","")</f>
        <v/>
      </c>
      <c r="AA18" s="215">
        <f ca="1">Ануїтетна_графік_Авто!G19</f>
        <v>46574</v>
      </c>
      <c r="AB18" s="215">
        <v>15</v>
      </c>
      <c r="AD18" s="215">
        <f ca="1">Ануїтетна_графік_Авто!J19</f>
        <v>29856.326507666774</v>
      </c>
      <c r="AF18" s="215">
        <f ca="1">Ануїтетна_графік_Авто!K19</f>
        <v>3148.6734923332251</v>
      </c>
      <c r="AH18" s="215">
        <f ca="1">Ануїтетна_графік_Авто!M19</f>
        <v>33005</v>
      </c>
      <c r="AJ18" s="215">
        <f t="shared" ca="1" si="0"/>
        <v>46599</v>
      </c>
      <c r="AK18" s="215">
        <v>15</v>
      </c>
      <c r="AM18" s="215">
        <f ca="1">Ануїтетна_графік_Авто!J19</f>
        <v>29856.326507666774</v>
      </c>
      <c r="AO18" s="215">
        <f ca="1">Ануїтетна_графік_Авто!K19</f>
        <v>3148.6734923332251</v>
      </c>
      <c r="AQ18" s="215">
        <f ca="1">Ануїтетна_графік_Авто!M19</f>
        <v>33005</v>
      </c>
      <c r="AS18" s="215">
        <f t="shared" ca="1" si="1"/>
        <v>306280.45062364178</v>
      </c>
    </row>
    <row r="19" spans="2:45" x14ac:dyDescent="0.25">
      <c r="B19" s="215" t="s">
        <v>172</v>
      </c>
      <c r="G19" s="215">
        <f>G4-IF(S4=1,0,IF(S4=2,G4*G6,IF(S4=3,G6)))+IF(N10="Так",G10,0)</f>
        <v>700000</v>
      </c>
      <c r="Q19" s="215" t="s">
        <v>263</v>
      </c>
      <c r="T19" s="215" t="s">
        <v>264</v>
      </c>
      <c r="U19" s="215">
        <f ca="1">TODAY()</f>
        <v>46118</v>
      </c>
      <c r="W19" s="215">
        <v>1</v>
      </c>
      <c r="X19" s="215">
        <v>31</v>
      </c>
      <c r="AA19" s="215">
        <f ca="1">Ануїтетна_графік_Авто!G20</f>
        <v>46605</v>
      </c>
      <c r="AB19" s="215">
        <v>16</v>
      </c>
      <c r="AD19" s="215">
        <f ca="1">Ануїтетна_графік_Авто!J20</f>
        <v>29990.470139371231</v>
      </c>
      <c r="AF19" s="215">
        <f ca="1">Ануїтетна_графік_Авто!K20</f>
        <v>3014.5298606287674</v>
      </c>
      <c r="AH19" s="215">
        <f ca="1">Ануїтетна_графік_Авто!M20</f>
        <v>33005</v>
      </c>
      <c r="AJ19" s="215">
        <f t="shared" ca="1" si="0"/>
        <v>46630</v>
      </c>
      <c r="AK19" s="215">
        <v>16</v>
      </c>
      <c r="AM19" s="215">
        <f ca="1">Ануїтетна_графік_Авто!J20</f>
        <v>29990.470139371231</v>
      </c>
      <c r="AO19" s="215">
        <f ca="1">Ануїтетна_графік_Авто!K20</f>
        <v>3014.5298606287674</v>
      </c>
      <c r="AQ19" s="215">
        <f ca="1">Ануїтетна_графік_Авто!M20</f>
        <v>33005</v>
      </c>
      <c r="AS19" s="215">
        <f t="shared" ca="1" si="1"/>
        <v>276424.12411597499</v>
      </c>
    </row>
    <row r="20" spans="2:45" x14ac:dyDescent="0.25">
      <c r="Q20" s="215">
        <f>IF($G$13="Так",ROUND((G4-G6+N15)*G12/100,2),IF($G$16="Ні",ROUND((G4-G6)*G12/100,2),0))</f>
        <v>0</v>
      </c>
      <c r="T20" s="215" t="s">
        <v>265</v>
      </c>
      <c r="U20" s="215">
        <f ca="1">DAY(U19)</f>
        <v>6</v>
      </c>
      <c r="W20" s="215">
        <v>2</v>
      </c>
      <c r="X20" s="215">
        <v>28</v>
      </c>
      <c r="AA20" s="215">
        <f ca="1">Ануїтетна_графік_Авто!G21</f>
        <v>46636</v>
      </c>
      <c r="AB20" s="215">
        <v>17</v>
      </c>
      <c r="AD20" s="215">
        <f ca="1">Ануїтетна_графік_Авто!J21</f>
        <v>30230.643821070698</v>
      </c>
      <c r="AF20" s="215">
        <f ca="1">Ануїтетна_графік_Авто!K21</f>
        <v>2774.356178929303</v>
      </c>
      <c r="AH20" s="215">
        <f ca="1">Ануїтетна_графік_Авто!M21</f>
        <v>33005</v>
      </c>
      <c r="AJ20" s="215">
        <f t="shared" ca="1" si="0"/>
        <v>46660</v>
      </c>
      <c r="AK20" s="215">
        <v>17</v>
      </c>
      <c r="AM20" s="215">
        <f ca="1">Ануїтетна_графік_Авто!J21</f>
        <v>30230.643821070698</v>
      </c>
      <c r="AO20" s="215">
        <f ca="1">Ануїтетна_графік_Авто!K21</f>
        <v>2774.356178929303</v>
      </c>
      <c r="AQ20" s="215">
        <f ca="1">Ануїтетна_графік_Авто!M21</f>
        <v>33005</v>
      </c>
      <c r="AS20" s="215">
        <f t="shared" ca="1" si="1"/>
        <v>246433.65397660376</v>
      </c>
    </row>
    <row r="21" spans="2:45" x14ac:dyDescent="0.25">
      <c r="B21" s="215" t="s">
        <v>295</v>
      </c>
      <c r="T21" s="215" t="s">
        <v>237</v>
      </c>
      <c r="U21" s="215">
        <f ca="1">MONTH(U19)</f>
        <v>4</v>
      </c>
      <c r="W21" s="215">
        <v>3</v>
      </c>
      <c r="X21" s="215">
        <v>31</v>
      </c>
      <c r="AA21" s="215">
        <f ca="1">Ануїтетна_графік_Авто!G22</f>
        <v>46666</v>
      </c>
      <c r="AB21" s="215">
        <v>18</v>
      </c>
      <c r="AD21" s="215">
        <f ca="1">Ануїтетна_графік_Авто!J22</f>
        <v>30554.426671294619</v>
      </c>
      <c r="AF21" s="215">
        <f ca="1">Ануїтетна_графік_Авто!K22</f>
        <v>2450.5733287053827</v>
      </c>
      <c r="AH21" s="215">
        <f ca="1">Ануїтетна_графік_Авто!M22</f>
        <v>33005</v>
      </c>
      <c r="AJ21" s="215">
        <f t="shared" ca="1" si="0"/>
        <v>46691</v>
      </c>
      <c r="AK21" s="215">
        <v>18</v>
      </c>
      <c r="AM21" s="215">
        <f ca="1">Ануїтетна_графік_Авто!J22</f>
        <v>30554.426671294619</v>
      </c>
      <c r="AO21" s="215">
        <f ca="1">Ануїтетна_графік_Авто!K22</f>
        <v>2450.5733287053827</v>
      </c>
      <c r="AQ21" s="215">
        <f ca="1">Ануїтетна_графік_Авто!M22</f>
        <v>33005</v>
      </c>
      <c r="AS21" s="215">
        <f t="shared" ca="1" si="1"/>
        <v>216203.01015553306</v>
      </c>
    </row>
    <row r="22" spans="2:45" x14ac:dyDescent="0.25">
      <c r="B22" s="215" t="s">
        <v>231</v>
      </c>
      <c r="T22" s="215" t="s">
        <v>268</v>
      </c>
      <c r="U22" s="215">
        <v>1200000</v>
      </c>
      <c r="W22" s="215">
        <v>4</v>
      </c>
      <c r="X22" s="215">
        <v>30</v>
      </c>
      <c r="AA22" s="215">
        <f ca="1">Ануїтетна_графік_Авто!G23</f>
        <v>46697</v>
      </c>
      <c r="AB22" s="215">
        <v>19</v>
      </c>
      <c r="AD22" s="215">
        <f ca="1">Ануїтетна_графік_Авто!J23</f>
        <v>30717.430927263722</v>
      </c>
      <c r="AF22" s="215">
        <f ca="1">Ануїтетна_графік_Авто!K23</f>
        <v>2287.5690727362771</v>
      </c>
      <c r="AH22" s="215">
        <f ca="1">Ануїтетна_графік_Авто!M23</f>
        <v>33005</v>
      </c>
      <c r="AJ22" s="215">
        <f t="shared" ca="1" si="0"/>
        <v>46721</v>
      </c>
      <c r="AK22" s="215">
        <v>19</v>
      </c>
      <c r="AM22" s="215">
        <f ca="1">Ануїтетна_графік_Авто!J23</f>
        <v>30717.430927263722</v>
      </c>
      <c r="AO22" s="215">
        <f ca="1">Ануїтетна_графік_Авто!K23</f>
        <v>2287.5690727362771</v>
      </c>
      <c r="AQ22" s="215">
        <f ca="1">Ануїтетна_графік_Авто!M23</f>
        <v>33005</v>
      </c>
      <c r="AS22" s="215">
        <f t="shared" ca="1" si="1"/>
        <v>185648.58348423845</v>
      </c>
    </row>
    <row r="23" spans="2:45" x14ac:dyDescent="0.25">
      <c r="B23" s="215" t="s">
        <v>237</v>
      </c>
      <c r="D23" s="215" t="s">
        <v>233</v>
      </c>
      <c r="E23" s="215" t="s">
        <v>234</v>
      </c>
      <c r="F23" s="215" t="s">
        <v>235</v>
      </c>
      <c r="H23" s="215" t="s">
        <v>517</v>
      </c>
      <c r="T23" s="215" t="s">
        <v>270</v>
      </c>
      <c r="U23" s="215">
        <f>'Калькулятор '!V23</f>
        <v>20</v>
      </c>
      <c r="W23" s="215">
        <v>5</v>
      </c>
      <c r="X23" s="215">
        <v>31</v>
      </c>
      <c r="AA23" s="215">
        <f ca="1">Ануїтетна_графік_Авто!G24</f>
        <v>46727</v>
      </c>
      <c r="AB23" s="215">
        <v>20</v>
      </c>
      <c r="AD23" s="215">
        <f ca="1">Ануїтетна_графік_Авто!J24</f>
        <v>31029.283567683444</v>
      </c>
      <c r="AF23" s="215">
        <f ca="1">Ануїтетна_графік_Авто!K24</f>
        <v>1975.7164323165555</v>
      </c>
      <c r="AH23" s="215">
        <f ca="1">Ануїтетна_графік_Авто!M24</f>
        <v>33005</v>
      </c>
      <c r="AJ23" s="215">
        <f t="shared" ca="1" si="0"/>
        <v>46752</v>
      </c>
      <c r="AK23" s="215">
        <v>20</v>
      </c>
      <c r="AM23" s="215">
        <f ca="1">Ануїтетна_графік_Авто!J24</f>
        <v>31029.283567683444</v>
      </c>
      <c r="AO23" s="215">
        <f ca="1">Ануїтетна_графік_Авто!K24</f>
        <v>1975.7164323165555</v>
      </c>
      <c r="AQ23" s="215">
        <f ca="1">Ануїтетна_графік_Авто!M24</f>
        <v>33005</v>
      </c>
      <c r="AS23" s="215">
        <f t="shared" ca="1" si="1"/>
        <v>154931.15255697473</v>
      </c>
    </row>
    <row r="24" spans="2:45" x14ac:dyDescent="0.25">
      <c r="P24" s="215">
        <f ca="1">TODAY()</f>
        <v>46118</v>
      </c>
      <c r="Q24" s="215" t="s">
        <v>264</v>
      </c>
      <c r="R24" s="215" t="s">
        <v>271</v>
      </c>
      <c r="AA24" s="215">
        <f ca="1">Ануїтетна_графік_Авто!G25</f>
        <v>46758</v>
      </c>
      <c r="AB24" s="215">
        <v>21</v>
      </c>
      <c r="AD24" s="215">
        <f ca="1">Ануїтетна_графік_Авто!J25</f>
        <v>31211.919199177424</v>
      </c>
      <c r="AF24" s="215">
        <f ca="1">Ануїтетна_графік_Авто!K25</f>
        <v>1793.0808008225756</v>
      </c>
      <c r="AH24" s="215">
        <f ca="1">Ануїтетна_графік_Авто!M25</f>
        <v>33005</v>
      </c>
      <c r="AJ24" s="215">
        <f t="shared" ca="1" si="0"/>
        <v>46783</v>
      </c>
      <c r="AK24" s="215">
        <v>21</v>
      </c>
      <c r="AM24" s="215">
        <f ca="1">Ануїтетна_графік_Авто!J25</f>
        <v>31211.919199177424</v>
      </c>
      <c r="AO24" s="215">
        <f ca="1">Ануїтетна_графік_Авто!K25</f>
        <v>1793.0808008225756</v>
      </c>
      <c r="AQ24" s="215">
        <f ca="1">Ануїтетна_графік_Авто!M25</f>
        <v>33005</v>
      </c>
      <c r="AS24" s="215">
        <f t="shared" ca="1" si="1"/>
        <v>123901.86898929128</v>
      </c>
    </row>
    <row r="25" spans="2:45" x14ac:dyDescent="0.25">
      <c r="B25" s="215">
        <v>1</v>
      </c>
      <c r="D25" s="215">
        <v>15820.916666666668</v>
      </c>
      <c r="F25" s="215">
        <v>7830.083333333333</v>
      </c>
      <c r="H25" s="215">
        <v>23651</v>
      </c>
      <c r="K25" s="215" t="s">
        <v>296</v>
      </c>
      <c r="N25" s="215">
        <f>IF($S$4=3,$G$6,IF($S$4=2,$G$4*$G$6,IF($S$4=1,0)))</f>
        <v>300000</v>
      </c>
      <c r="P25" s="215">
        <f ca="1">IF(P24&lt;Q26,R25,IF(P24&lt;Q27,R26,R27))</f>
        <v>2589</v>
      </c>
      <c r="Q25" s="215">
        <v>44562</v>
      </c>
      <c r="R25" s="215">
        <v>2589</v>
      </c>
      <c r="W25" s="215">
        <v>6</v>
      </c>
      <c r="X25" s="215">
        <v>30</v>
      </c>
      <c r="AA25" s="215">
        <f ca="1">Ануїтетна_графік_Авто!G26</f>
        <v>46789</v>
      </c>
      <c r="AB25" s="215">
        <v>22</v>
      </c>
      <c r="AD25" s="215">
        <f ca="1">Ануїтетна_графік_Авто!J26</f>
        <v>31461.874652097504</v>
      </c>
      <c r="AF25" s="215">
        <f ca="1">Ануїтетна_графік_Авто!K26</f>
        <v>1543.1253479024967</v>
      </c>
      <c r="AH25" s="215">
        <f ca="1">Ануїтетна_графік_Авто!M26</f>
        <v>33005</v>
      </c>
      <c r="AJ25" s="215">
        <f t="shared" ca="1" si="0"/>
        <v>46812</v>
      </c>
      <c r="AK25" s="215">
        <v>22</v>
      </c>
      <c r="AM25" s="215">
        <f ca="1">Ануїтетна_графік_Авто!J26</f>
        <v>31461.874652097504</v>
      </c>
      <c r="AO25" s="215">
        <f ca="1">Ануїтетна_графік_Авто!K26</f>
        <v>1543.1253479024967</v>
      </c>
      <c r="AQ25" s="215">
        <f ca="1">Ануїтетна_графік_Авто!M26</f>
        <v>33005</v>
      </c>
      <c r="AS25" s="215">
        <f t="shared" ca="1" si="1"/>
        <v>92689.949790113853</v>
      </c>
    </row>
    <row r="26" spans="2:45" x14ac:dyDescent="0.25">
      <c r="B26" s="215">
        <v>2</v>
      </c>
      <c r="D26" s="215">
        <v>16244.761422916667</v>
      </c>
      <c r="F26" s="215">
        <v>7406.2385770833334</v>
      </c>
      <c r="H26" s="215">
        <v>23651</v>
      </c>
      <c r="Q26" s="215">
        <v>44562</v>
      </c>
      <c r="R26" s="215">
        <v>2589</v>
      </c>
      <c r="W26" s="215">
        <v>7</v>
      </c>
      <c r="X26" s="215">
        <v>31</v>
      </c>
      <c r="AA26" s="215">
        <f ca="1">Ануїтетна_графік_Авто!G27</f>
        <v>46818</v>
      </c>
      <c r="AB26" s="215">
        <f>AB25+1</f>
        <v>23</v>
      </c>
      <c r="AD26" s="215">
        <f ca="1">Ануїтетна_графік_Авто!J27</f>
        <v>31797.133003757692</v>
      </c>
      <c r="AF26" s="215">
        <f ca="1">Ануїтетна_графік_Авто!K27</f>
        <v>1207.8669962423071</v>
      </c>
      <c r="AH26" s="215">
        <f ca="1">Ануїтетна_графік_Авто!M27</f>
        <v>33005</v>
      </c>
      <c r="AJ26" s="215">
        <f t="shared" ca="1" si="0"/>
        <v>46843</v>
      </c>
      <c r="AK26" s="215">
        <v>23</v>
      </c>
      <c r="AM26" s="215">
        <f ca="1">Ануїтетна_графік_Авто!J27</f>
        <v>31797.133003757692</v>
      </c>
      <c r="AO26" s="215">
        <f ca="1">Ануїтетна_графік_Авто!K27</f>
        <v>1207.8669962423071</v>
      </c>
      <c r="AQ26" s="215">
        <f ca="1">Ануїтетна_графік_Авто!M27</f>
        <v>33005</v>
      </c>
      <c r="AS26" s="215">
        <f t="shared" ca="1" si="1"/>
        <v>61228.075138016349</v>
      </c>
    </row>
    <row r="27" spans="2:45" x14ac:dyDescent="0.25">
      <c r="B27" s="215">
        <v>3</v>
      </c>
      <c r="D27" s="215">
        <v>16179.597997497063</v>
      </c>
      <c r="F27" s="215">
        <v>7471.4020025029367</v>
      </c>
      <c r="H27" s="215">
        <v>23651</v>
      </c>
      <c r="Q27" s="215">
        <v>44562</v>
      </c>
      <c r="R27" s="215">
        <v>2589</v>
      </c>
      <c r="W27" s="215">
        <v>8</v>
      </c>
      <c r="X27" s="215">
        <v>31</v>
      </c>
      <c r="AA27" s="215">
        <f ca="1">Ануїтетна_графік_Авто!G28</f>
        <v>46849</v>
      </c>
      <c r="AB27" s="215">
        <f>AB26+1</f>
        <v>24</v>
      </c>
      <c r="AD27" s="215">
        <f ca="1">Ануїтетна_графік_Авто!J28</f>
        <v>31980.003212354623</v>
      </c>
      <c r="AF27" s="215">
        <f ca="1">Ануїтетна_графік_Авто!K28</f>
        <v>1036.5261282585229</v>
      </c>
      <c r="AH27" s="215">
        <f ca="1">Ануїтетна_графік_Авто!M28</f>
        <v>33016.529340613146</v>
      </c>
      <c r="AJ27" s="215">
        <f t="shared" ca="1" si="0"/>
        <v>46873</v>
      </c>
      <c r="AK27" s="215">
        <v>24</v>
      </c>
      <c r="AM27" s="215">
        <f ca="1">Ануїтетна_графік_Авто!J28</f>
        <v>31980.003212354623</v>
      </c>
      <c r="AO27" s="215">
        <f ca="1">Ануїтетна_графік_Авто!K28</f>
        <v>1036.5261282585229</v>
      </c>
      <c r="AQ27" s="215">
        <f ca="1">Ануїтетна_графік_Авто!M28</f>
        <v>33016.529340613146</v>
      </c>
      <c r="AS27" s="215">
        <f t="shared" ca="1" si="1"/>
        <v>29430.942134258657</v>
      </c>
    </row>
    <row r="28" spans="2:45" x14ac:dyDescent="0.25">
      <c r="B28" s="215">
        <v>4</v>
      </c>
      <c r="D28" s="215">
        <v>16360.580284097399</v>
      </c>
      <c r="F28" s="215">
        <v>7290.4197159026007</v>
      </c>
      <c r="H28" s="215">
        <v>23651</v>
      </c>
      <c r="K28" s="215" t="s">
        <v>297</v>
      </c>
      <c r="N28" s="215">
        <f>G10</f>
        <v>2093000</v>
      </c>
      <c r="W28" s="215">
        <v>9</v>
      </c>
      <c r="X28" s="215">
        <v>30</v>
      </c>
      <c r="AA28" s="215">
        <f ca="1">Ануїтетна_графік_Авто!G29</f>
        <v>46879</v>
      </c>
      <c r="AB28" s="215">
        <f t="shared" ref="AB28:AB78" si="2">AB27+1</f>
        <v>25</v>
      </c>
      <c r="AD28" s="215">
        <f ca="1">Ануїтетна_графік_Авто!J29</f>
        <v>32249.755223355241</v>
      </c>
      <c r="AF28" s="215">
        <f ca="1">Ануїтетна_графік_Авто!K29</f>
        <v>755.24477664475762</v>
      </c>
      <c r="AH28" s="215">
        <f ca="1">Ануїтетна_графік_Авто!M29</f>
        <v>33005</v>
      </c>
      <c r="AJ28" s="215">
        <f t="shared" ca="1" si="0"/>
        <v>46904</v>
      </c>
      <c r="AK28" s="215">
        <v>25</v>
      </c>
      <c r="AM28" s="215">
        <f ca="1">Ануїтетна_графік_Авто!J29</f>
        <v>32249.755223355241</v>
      </c>
      <c r="AO28" s="215">
        <f ca="1">Ануїтетна_графік_Авто!K29</f>
        <v>755.24477664475762</v>
      </c>
      <c r="AQ28" s="215">
        <f ca="1">Ануїтетна_графік_Авто!M29</f>
        <v>33005</v>
      </c>
      <c r="AS28" s="215">
        <f t="shared" ca="1" si="1"/>
        <v>-2549.0610780959651</v>
      </c>
    </row>
    <row r="29" spans="2:45" x14ac:dyDescent="0.25">
      <c r="B29" s="215">
        <v>5</v>
      </c>
      <c r="D29" s="215">
        <v>16772.858395217998</v>
      </c>
      <c r="F29" s="215">
        <v>6878.1416047820012</v>
      </c>
      <c r="H29" s="215">
        <v>23651</v>
      </c>
      <c r="W29" s="215">
        <v>10</v>
      </c>
      <c r="X29" s="215">
        <v>31</v>
      </c>
      <c r="AA29" s="215">
        <f ca="1">Ануїтетна_графік_Авто!G30</f>
        <v>46910</v>
      </c>
      <c r="AB29" s="215">
        <f t="shared" si="2"/>
        <v>26</v>
      </c>
      <c r="AD29" s="215">
        <f ca="1">Ануїтетна_графік_Авто!J30</f>
        <v>32482.84718721412</v>
      </c>
      <c r="AF29" s="215">
        <f ca="1">Ануїтетна_графік_Авто!K30</f>
        <v>522.15281278587963</v>
      </c>
      <c r="AH29" s="215">
        <f ca="1">Ануїтетна_графік_Авто!M30</f>
        <v>33005</v>
      </c>
      <c r="AJ29" s="215">
        <f t="shared" ca="1" si="0"/>
        <v>46934</v>
      </c>
      <c r="AK29" s="215">
        <v>26</v>
      </c>
      <c r="AM29" s="215">
        <f ca="1">Ануїтетна_графік_Авто!J30</f>
        <v>32482.84718721412</v>
      </c>
      <c r="AO29" s="215">
        <f ca="1">Ануїтетна_графік_Авто!K30</f>
        <v>522.15281278587963</v>
      </c>
      <c r="AQ29" s="215">
        <f ca="1">Ануїтетна_графік_Авто!M30</f>
        <v>33005</v>
      </c>
      <c r="AS29" s="215">
        <f t="shared" ca="1" si="1"/>
        <v>-34798.81630145121</v>
      </c>
    </row>
    <row r="30" spans="2:45" x14ac:dyDescent="0.25">
      <c r="B30" s="215">
        <v>6</v>
      </c>
      <c r="D30" s="215">
        <v>16731.20540692444</v>
      </c>
      <c r="F30" s="215">
        <v>6919.7945930755586</v>
      </c>
      <c r="H30" s="215">
        <v>23651</v>
      </c>
      <c r="W30" s="215">
        <v>11</v>
      </c>
      <c r="X30" s="215">
        <v>30</v>
      </c>
      <c r="AA30" s="215">
        <f ca="1">Ануїтетна_графік_Авто!G31</f>
        <v>46940</v>
      </c>
      <c r="AB30" s="215">
        <f t="shared" si="2"/>
        <v>27</v>
      </c>
      <c r="AD30" s="215">
        <f ca="1">Ануїтетна_графік_Авто!J31</f>
        <v>32751.432892037155</v>
      </c>
      <c r="AF30" s="215">
        <f ca="1">Ануїтетна_графік_Авто!K31</f>
        <v>253.56710796284509</v>
      </c>
      <c r="AH30" s="215">
        <f ca="1">Ануїтетна_графік_Авто!M31</f>
        <v>33005</v>
      </c>
      <c r="AJ30" s="215">
        <f t="shared" ca="1" si="0"/>
        <v>46965</v>
      </c>
      <c r="AK30" s="215">
        <v>27</v>
      </c>
      <c r="AM30" s="215">
        <f ca="1">Ануїтетна_графік_Авто!J31</f>
        <v>32751.432892037155</v>
      </c>
      <c r="AO30" s="215">
        <f ca="1">Ануїтетна_графік_Авто!K31</f>
        <v>253.56710796284509</v>
      </c>
      <c r="AQ30" s="215">
        <f ca="1">Ануїтетна_графік_Авто!M31</f>
        <v>33005</v>
      </c>
      <c r="AS30" s="215">
        <f t="shared" ca="1" si="1"/>
        <v>-67281.663488665334</v>
      </c>
    </row>
    <row r="31" spans="2:45" x14ac:dyDescent="0.25">
      <c r="B31" s="215">
        <v>7</v>
      </c>
      <c r="D31" s="215">
        <v>17135.539885876191</v>
      </c>
      <c r="F31" s="215">
        <v>6515.460114123809</v>
      </c>
      <c r="H31" s="215">
        <v>23651</v>
      </c>
      <c r="K31" s="215" t="s">
        <v>298</v>
      </c>
      <c r="N31" s="215">
        <f>N15</f>
        <v>51600</v>
      </c>
      <c r="W31" s="215">
        <v>12</v>
      </c>
      <c r="X31" s="215">
        <v>31</v>
      </c>
      <c r="AA31" s="215">
        <f ca="1">Ануїтетна_графік_Авто!G32</f>
        <v>46971</v>
      </c>
      <c r="AB31" s="215">
        <f t="shared" si="2"/>
        <v>28</v>
      </c>
      <c r="AD31" s="215">
        <f ca="1">Ануїтетна_графік_Авто!J32</f>
        <v>33005.265046848792</v>
      </c>
      <c r="AF31" s="215">
        <f ca="1">Ануїтетна_графік_Авто!K32</f>
        <v>-0.2650468487910061</v>
      </c>
      <c r="AH31" s="215">
        <f ca="1">Ануїтетна_графік_Авто!M32</f>
        <v>33005</v>
      </c>
      <c r="AJ31" s="215">
        <f t="shared" ca="1" si="0"/>
        <v>46996</v>
      </c>
      <c r="AK31" s="215">
        <v>28</v>
      </c>
      <c r="AM31" s="215">
        <f ca="1">Ануїтетна_графік_Авто!J32</f>
        <v>33005.265046848792</v>
      </c>
      <c r="AO31" s="215">
        <f ca="1">Ануїтетна_графік_Авто!K32</f>
        <v>-0.2650468487910061</v>
      </c>
      <c r="AQ31" s="215">
        <f ca="1">Ануїтетна_графік_Авто!M32</f>
        <v>33005</v>
      </c>
      <c r="AS31" s="215">
        <f t="shared" ca="1" si="1"/>
        <v>-100033.09638070248</v>
      </c>
    </row>
    <row r="32" spans="2:45" x14ac:dyDescent="0.25">
      <c r="B32" s="215">
        <v>8</v>
      </c>
      <c r="D32" s="215">
        <v>17110.033175312161</v>
      </c>
      <c r="F32" s="215">
        <v>6540.9668246878382</v>
      </c>
      <c r="H32" s="215">
        <v>23651</v>
      </c>
      <c r="P32" s="215" t="s">
        <v>249</v>
      </c>
      <c r="AA32" s="215">
        <f ca="1">Ануїтетна_графік_Авто!G33</f>
        <v>47002</v>
      </c>
      <c r="AB32" s="215">
        <f t="shared" si="2"/>
        <v>29</v>
      </c>
      <c r="AD32" s="215">
        <f ca="1">Ануїтетна_графік_Авто!J33</f>
        <v>33269.582211098968</v>
      </c>
      <c r="AF32" s="215">
        <f ca="1">Ануїтетна_графік_Авто!K33</f>
        <v>-264.58221109897181</v>
      </c>
      <c r="AH32" s="215">
        <f ca="1">Ануїтетна_графік_Авто!M33</f>
        <v>33005</v>
      </c>
      <c r="AJ32" s="215">
        <f t="shared" ca="1" si="0"/>
        <v>47026</v>
      </c>
      <c r="AK32" s="215">
        <v>29</v>
      </c>
      <c r="AM32" s="215">
        <f ca="1">Ануїтетна_графік_Авто!J33</f>
        <v>33269.582211098968</v>
      </c>
      <c r="AO32" s="215">
        <f ca="1">Ануїтетна_графік_Авто!K33</f>
        <v>-264.58221109897181</v>
      </c>
      <c r="AQ32" s="215">
        <f ca="1">Ануїтетна_графік_Авто!M33</f>
        <v>33005</v>
      </c>
      <c r="AS32" s="215">
        <f t="shared" ca="1" si="1"/>
        <v>-133038.36142755128</v>
      </c>
    </row>
    <row r="33" spans="2:45" x14ac:dyDescent="0.25">
      <c r="B33" s="215">
        <v>9</v>
      </c>
      <c r="D33" s="215">
        <v>17301.423154739008</v>
      </c>
      <c r="F33" s="215">
        <v>6349.5768452609918</v>
      </c>
      <c r="H33" s="215">
        <v>23651</v>
      </c>
      <c r="P33" s="215" t="s">
        <v>243</v>
      </c>
      <c r="AA33" s="215">
        <f ca="1">Ануїтетна_графік_Авто!G34</f>
        <v>47032</v>
      </c>
      <c r="AB33" s="215">
        <f t="shared" si="2"/>
        <v>30</v>
      </c>
      <c r="AD33" s="215">
        <f ca="1">Ануїтетна_графік_Авто!J34</f>
        <v>33518.886563199536</v>
      </c>
      <c r="AF33" s="215">
        <f ca="1">Ануїтетна_графік_Авто!K34</f>
        <v>-513.88656319953816</v>
      </c>
      <c r="AH33" s="215">
        <f ca="1">Ануїтетна_графік_Авто!M34</f>
        <v>33005</v>
      </c>
      <c r="AJ33" s="215">
        <f t="shared" ca="1" si="0"/>
        <v>47057</v>
      </c>
      <c r="AK33" s="215">
        <v>30</v>
      </c>
      <c r="AM33" s="215">
        <f ca="1">Ануїтетна_графік_Авто!J34</f>
        <v>33518.886563199536</v>
      </c>
      <c r="AO33" s="215">
        <f ca="1">Ануїтетна_графік_Авто!K34</f>
        <v>-513.88656319953816</v>
      </c>
      <c r="AQ33" s="215">
        <f ca="1">Ануїтетна_графік_Авто!M34</f>
        <v>33005</v>
      </c>
      <c r="AS33" s="215">
        <f t="shared" ca="1" si="1"/>
        <v>-166307.94363865023</v>
      </c>
    </row>
    <row r="34" spans="2:45" x14ac:dyDescent="0.25">
      <c r="B34" s="215">
        <v>10</v>
      </c>
      <c r="D34" s="215">
        <v>18090.700378586032</v>
      </c>
      <c r="F34" s="215">
        <v>5560.2996214139675</v>
      </c>
      <c r="H34" s="215">
        <v>23651</v>
      </c>
      <c r="K34" s="215" t="s">
        <v>299</v>
      </c>
      <c r="N34" s="215">
        <f>IF(N12=0,0,IF(G13="Ні",N12,IF(G13="Так","НВ включено у суму кредиту",0)))</f>
        <v>0</v>
      </c>
      <c r="AA34" s="215">
        <f ca="1">Ануїтетна_графік_Авто!G35</f>
        <v>47063</v>
      </c>
      <c r="AB34" s="215">
        <f t="shared" si="2"/>
        <v>31</v>
      </c>
      <c r="AD34" s="215">
        <f ca="1">Ануїтетна_графік_Авто!J35</f>
        <v>33804.446531866481</v>
      </c>
      <c r="AF34" s="215">
        <f ca="1">Ануїтетна_графік_Авто!K35</f>
        <v>-799.44653186647895</v>
      </c>
      <c r="AH34" s="215">
        <f ca="1">Ануїтетна_графік_Авто!M35</f>
        <v>33005</v>
      </c>
      <c r="AJ34" s="215">
        <f t="shared" ca="1" si="0"/>
        <v>47087</v>
      </c>
      <c r="AK34" s="215">
        <v>31</v>
      </c>
      <c r="AM34" s="215">
        <f ca="1">Ануїтетна_графік_Авто!J35</f>
        <v>33804.446531866481</v>
      </c>
      <c r="AO34" s="215">
        <f ca="1">Ануїтетна_графік_Авто!K35</f>
        <v>-799.44653186647895</v>
      </c>
      <c r="AQ34" s="215">
        <f ca="1">Ануїтетна_графік_Авто!M35</f>
        <v>33005</v>
      </c>
      <c r="AS34" s="215">
        <f t="shared" ca="1" si="1"/>
        <v>-199826.83020184978</v>
      </c>
    </row>
    <row r="35" spans="2:45" x14ac:dyDescent="0.25">
      <c r="B35" s="215">
        <v>11</v>
      </c>
      <c r="D35" s="215">
        <v>17697.313549895527</v>
      </c>
      <c r="F35" s="215">
        <v>5953.6864501044738</v>
      </c>
      <c r="H35" s="215">
        <v>23651</v>
      </c>
      <c r="AA35" s="215">
        <f ca="1">Ануїтетна_графік_Авто!G36</f>
        <v>47093</v>
      </c>
      <c r="AB35" s="215">
        <f t="shared" si="2"/>
        <v>32</v>
      </c>
      <c r="AD35" s="215">
        <f ca="1">Ануїтетна_графік_Авто!J36</f>
        <v>34040.6423946863</v>
      </c>
      <c r="AF35" s="215">
        <f ca="1">Ануїтетна_графік_Авто!K36</f>
        <v>-1035.6423946862999</v>
      </c>
      <c r="AH35" s="215">
        <f ca="1">Ануїтетна_графік_Авто!M36</f>
        <v>33005</v>
      </c>
      <c r="AJ35" s="215">
        <f t="shared" ca="1" si="0"/>
        <v>47118</v>
      </c>
      <c r="AK35" s="215">
        <v>32</v>
      </c>
      <c r="AM35" s="215">
        <f ca="1">Ануїтетна_графік_Авто!J36</f>
        <v>34040.6423946863</v>
      </c>
      <c r="AO35" s="215">
        <f ca="1">Ануїтетна_графік_Авто!K36</f>
        <v>-1035.6423946862999</v>
      </c>
      <c r="AQ35" s="215">
        <f ca="1">Ануїтетна_графік_Авто!M36</f>
        <v>33005</v>
      </c>
      <c r="AS35" s="215">
        <f t="shared" ca="1" si="1"/>
        <v>-233631.27673371625</v>
      </c>
    </row>
    <row r="36" spans="2:45" x14ac:dyDescent="0.25">
      <c r="B36" s="215">
        <v>12</v>
      </c>
      <c r="D36" s="215">
        <v>18080.941370689419</v>
      </c>
      <c r="F36" s="215">
        <v>5570.0586293105807</v>
      </c>
      <c r="H36" s="215">
        <v>23651</v>
      </c>
      <c r="AA36" s="215">
        <f ca="1">Ануїтетна_графік_Авто!G37</f>
        <v>47124</v>
      </c>
      <c r="AB36" s="215">
        <f t="shared" si="2"/>
        <v>33</v>
      </c>
      <c r="AD36" s="215">
        <f ca="1">Ануїтетна_графік_Авто!J37</f>
        <v>34347.772619019954</v>
      </c>
      <c r="AF36" s="215">
        <f ca="1">Ануїтетна_графік_Авто!K37</f>
        <v>-1342.7726190199558</v>
      </c>
      <c r="AH36" s="215">
        <f ca="1">Ануїтетна_графік_Авто!M37</f>
        <v>33005</v>
      </c>
      <c r="AJ36" s="215">
        <f t="shared" ca="1" si="0"/>
        <v>47149</v>
      </c>
      <c r="AK36" s="215">
        <v>33</v>
      </c>
      <c r="AM36" s="215">
        <f ca="1">Ануїтетна_графік_Авто!J37</f>
        <v>34347.772619019954</v>
      </c>
      <c r="AO36" s="215">
        <f ca="1">Ануїтетна_графік_Авто!K37</f>
        <v>-1342.7726190199558</v>
      </c>
      <c r="AQ36" s="215">
        <f ca="1">Ануїтетна_графік_Авто!M37</f>
        <v>33005</v>
      </c>
      <c r="AS36" s="215">
        <f t="shared" ca="1" si="1"/>
        <v>-267671.91912840254</v>
      </c>
    </row>
    <row r="37" spans="2:45" x14ac:dyDescent="0.25">
      <c r="B37" s="215">
        <v>13</v>
      </c>
      <c r="D37" s="215">
        <v>18097.523146394706</v>
      </c>
      <c r="F37" s="215">
        <v>5553.4768536052961</v>
      </c>
      <c r="H37" s="215">
        <v>23651</v>
      </c>
      <c r="K37" s="215" t="s">
        <v>300</v>
      </c>
      <c r="N37" s="215">
        <v>0</v>
      </c>
      <c r="AA37" s="215">
        <f ca="1">Ануїтетна_графік_Авто!G38</f>
        <v>47155</v>
      </c>
      <c r="AB37" s="215">
        <f t="shared" si="2"/>
        <v>34</v>
      </c>
      <c r="AD37" s="215">
        <f ca="1">Ануїтетна_графік_Авто!J38</f>
        <v>34622.841031410608</v>
      </c>
      <c r="AF37" s="215">
        <f ca="1">Ануїтетна_графік_Авто!K38</f>
        <v>-1617.8410314106075</v>
      </c>
      <c r="AH37" s="215">
        <f ca="1">Ануїтетна_графік_Авто!M38</f>
        <v>33005</v>
      </c>
      <c r="AJ37" s="215">
        <f t="shared" ca="1" si="0"/>
        <v>47177</v>
      </c>
      <c r="AK37" s="215">
        <v>34</v>
      </c>
      <c r="AM37" s="215">
        <f ca="1">Ануїтетна_графік_Авто!J38</f>
        <v>34622.841031410608</v>
      </c>
      <c r="AO37" s="215">
        <f ca="1">Ануїтетна_графік_Авто!K38</f>
        <v>-1617.8410314106075</v>
      </c>
      <c r="AQ37" s="215">
        <f ca="1">Ануїтетна_графік_Авто!M38</f>
        <v>33005</v>
      </c>
      <c r="AS37" s="215">
        <f t="shared" ca="1" si="1"/>
        <v>-302019.6917474225</v>
      </c>
    </row>
    <row r="38" spans="2:45" x14ac:dyDescent="0.25">
      <c r="B38" s="215">
        <v>14</v>
      </c>
      <c r="D38" s="215">
        <v>18472.573249086854</v>
      </c>
      <c r="F38" s="215">
        <v>5178.426750913145</v>
      </c>
      <c r="H38" s="215">
        <v>23651</v>
      </c>
      <c r="AA38" s="215">
        <f ca="1">Ануїтетна_графік_Авто!G39</f>
        <v>47183</v>
      </c>
      <c r="AB38" s="215">
        <f t="shared" si="2"/>
        <v>35</v>
      </c>
      <c r="AD38" s="215">
        <f ca="1">Ануїтетна_графік_Авто!J39</f>
        <v>34716.714320433559</v>
      </c>
      <c r="AF38" s="215">
        <f ca="1">Ануїтетна_графік_Авто!K39</f>
        <v>-1711.7143204335582</v>
      </c>
      <c r="AH38" s="215">
        <f ca="1">Ануїтетна_графік_Авто!M39</f>
        <v>33005</v>
      </c>
      <c r="AJ38" s="215">
        <f t="shared" ca="1" si="0"/>
        <v>47208</v>
      </c>
      <c r="AK38" s="215">
        <v>35</v>
      </c>
      <c r="AM38" s="215">
        <f ca="1">Ануїтетна_графік_Авто!J39</f>
        <v>34716.714320433559</v>
      </c>
      <c r="AO38" s="215">
        <f ca="1">Ануїтетна_графік_Авто!K39</f>
        <v>-1711.7143204335582</v>
      </c>
      <c r="AQ38" s="215">
        <f ca="1">Ануїтетна_графік_Авто!M39</f>
        <v>33005</v>
      </c>
      <c r="AS38" s="215">
        <f t="shared" ca="1" si="1"/>
        <v>-336642.53277883312</v>
      </c>
    </row>
    <row r="39" spans="2:45" x14ac:dyDescent="0.25">
      <c r="B39" s="215">
        <v>15</v>
      </c>
      <c r="D39" s="215">
        <v>18506.590149658492</v>
      </c>
      <c r="F39" s="215">
        <v>5144.4098503415062</v>
      </c>
      <c r="H39" s="215">
        <v>23651</v>
      </c>
      <c r="S39" s="215" t="s">
        <v>216</v>
      </c>
      <c r="T39" s="215">
        <f>G4/6*5</f>
        <v>833333.33333333326</v>
      </c>
      <c r="AA39" s="215">
        <f ca="1">Ануїтетна_графік_Авто!G40</f>
        <v>47213</v>
      </c>
      <c r="AB39" s="215">
        <f t="shared" si="2"/>
        <v>36</v>
      </c>
      <c r="AD39" s="215">
        <f ca="1">Ануїтетна_графік_Авто!J40</f>
        <v>35108.034165019315</v>
      </c>
      <c r="AF39" s="215">
        <f ca="1">Ануїтетна_графік_Авто!K40</f>
        <v>-2103.0341650193159</v>
      </c>
      <c r="AH39" s="215">
        <f ca="1">Ануїтетна_графік_Авто!M40</f>
        <v>33005</v>
      </c>
      <c r="AJ39" s="215">
        <f t="shared" ca="1" si="0"/>
        <v>47238</v>
      </c>
      <c r="AK39" s="215">
        <v>36</v>
      </c>
      <c r="AM39" s="215">
        <f ca="1">Ануїтетна_графік_Авто!J40</f>
        <v>35108.034165019315</v>
      </c>
      <c r="AO39" s="215">
        <f ca="1">Ануїтетна_графік_Авто!K40</f>
        <v>-2103.0341650193159</v>
      </c>
      <c r="AQ39" s="215">
        <f ca="1">Ануїтетна_графік_Авто!M40</f>
        <v>33005</v>
      </c>
      <c r="AS39" s="215">
        <f t="shared" ca="1" si="1"/>
        <v>-371359.24709926668</v>
      </c>
    </row>
    <row r="40" spans="2:45" x14ac:dyDescent="0.25">
      <c r="B40" s="215">
        <v>16</v>
      </c>
      <c r="D40" s="215">
        <v>18713.601782640882</v>
      </c>
      <c r="F40" s="215">
        <v>4937.3982173591176</v>
      </c>
      <c r="H40" s="215">
        <v>23651</v>
      </c>
      <c r="K40" s="215" t="s">
        <v>279</v>
      </c>
      <c r="P40" s="215" t="str">
        <f>CONCATENATE(P42,P43,P44,P45,P46)</f>
        <v/>
      </c>
      <c r="Q40" s="215">
        <f>SUM(Q42:Q47)</f>
        <v>9.3000000000000007</v>
      </c>
      <c r="Z40" s="215">
        <f>SUM(Z42:Z46)</f>
        <v>0</v>
      </c>
      <c r="AA40" s="215" t="str">
        <f>Ануїтетна_графік_Авто!G41</f>
        <v>Всього:</v>
      </c>
      <c r="AB40" s="215">
        <f t="shared" si="2"/>
        <v>37</v>
      </c>
      <c r="AD40" s="215">
        <f ca="1">Ануїтетна_графік_Авто!J41</f>
        <v>1106467.2812642858</v>
      </c>
      <c r="AF40" s="215">
        <f ca="1">Ануїтетна_графік_Авто!K41</f>
        <v>81724.248076327291</v>
      </c>
      <c r="AH40" s="215">
        <f ca="1">Ануїтетна_графік_Авто!M41</f>
        <v>1188191.5293406132</v>
      </c>
      <c r="AJ40" s="215">
        <f t="shared" ca="1" si="0"/>
        <v>47269</v>
      </c>
      <c r="AK40" s="215">
        <v>37</v>
      </c>
      <c r="AM40" s="215">
        <f ca="1">Ануїтетна_графік_Авто!J41</f>
        <v>1106467.2812642858</v>
      </c>
      <c r="AO40" s="215">
        <f ca="1">Ануїтетна_графік_Авто!K41</f>
        <v>81724.248076327291</v>
      </c>
      <c r="AQ40" s="215">
        <f ca="1">Ануїтетна_графік_Авто!M41</f>
        <v>1188191.5293406132</v>
      </c>
      <c r="AS40" s="215">
        <f t="shared" ca="1" si="1"/>
        <v>-406467.28126428602</v>
      </c>
    </row>
    <row r="41" spans="2:45" x14ac:dyDescent="0.25">
      <c r="B41" s="215">
        <v>17</v>
      </c>
      <c r="D41" s="215">
        <v>19075.447432175359</v>
      </c>
      <c r="F41" s="215">
        <v>4575.5525678246395</v>
      </c>
      <c r="H41" s="215">
        <v>23651</v>
      </c>
      <c r="P41" s="215" t="s">
        <v>301</v>
      </c>
      <c r="Q41" s="215" t="s">
        <v>274</v>
      </c>
      <c r="R41" s="215" t="s">
        <v>302</v>
      </c>
      <c r="S41" s="215">
        <v>12</v>
      </c>
      <c r="T41" s="215">
        <v>24</v>
      </c>
      <c r="U41" s="215">
        <v>36</v>
      </c>
      <c r="V41" s="215">
        <v>48</v>
      </c>
      <c r="W41" s="215">
        <v>60</v>
      </c>
      <c r="X41" s="215">
        <v>72</v>
      </c>
      <c r="Y41" s="215">
        <v>84</v>
      </c>
      <c r="Z41" s="215" t="s">
        <v>303</v>
      </c>
      <c r="AA41" s="215" t="e">
        <f ca="1">Ануїтетна_графік_Авто!G42</f>
        <v>#VALUE!</v>
      </c>
      <c r="AB41" s="215">
        <f t="shared" si="2"/>
        <v>38</v>
      </c>
      <c r="AD41" s="215" t="e">
        <f ca="1">Ануїтетна_графік_Авто!J42</f>
        <v>#VALUE!</v>
      </c>
      <c r="AF41" s="215" t="e">
        <f ca="1">Ануїтетна_графік_Авто!K42</f>
        <v>#VALUE!</v>
      </c>
      <c r="AH41" s="215" t="e">
        <f ca="1">Ануїтетна_графік_Авто!M42</f>
        <v>#VALUE!</v>
      </c>
      <c r="AJ41" s="215">
        <f t="shared" ca="1" si="0"/>
        <v>47299</v>
      </c>
      <c r="AK41" s="215">
        <v>38</v>
      </c>
      <c r="AM41" s="215" t="e">
        <f ca="1">Ануїтетна_графік_Авто!J42</f>
        <v>#VALUE!</v>
      </c>
      <c r="AO41" s="215" t="e">
        <f ca="1">Ануїтетна_графік_Авто!K42</f>
        <v>#VALUE!</v>
      </c>
      <c r="AQ41" s="215" t="e">
        <f ca="1">Ануїтетна_графік_Авто!M42</f>
        <v>#VALUE!</v>
      </c>
      <c r="AS41" s="215">
        <f t="shared" ca="1" si="1"/>
        <v>-1512934.5625285718</v>
      </c>
    </row>
    <row r="42" spans="2:45" x14ac:dyDescent="0.25">
      <c r="B42" s="215">
        <v>18</v>
      </c>
      <c r="D42" s="215">
        <v>19136.303788982947</v>
      </c>
      <c r="F42" s="215">
        <v>4514.6962110170525</v>
      </c>
      <c r="H42" s="215">
        <v>23651</v>
      </c>
      <c r="P42" s="215" t="str">
        <f>IF($G$2=R42,IF(AND($G$2=R42,$U$23&lt;20),"Авансовий платіж має бути не менше 20%",IF(AND($G$2=R42,$U$23&gt;29.999),"Авансовий платіж має бути менше 30%","Авансовий платіж достатній")),"")</f>
        <v/>
      </c>
      <c r="Q42" s="215">
        <f>IF(AND(U23&lt;30,$N$8=$S$41),S42,
IF(AND(U23&lt;30,$N$8=$T$41),T42,
IF(AND(U23&lt;30,$N$8=$U$41),U42,
IF(AND(U23&lt;30,$N$8=$V$41),V42,
IF(AND(U23&lt;30,$N$8=$W$41),W42,
IF(AND(U23&lt;30,$N$8=$X$41),X42,
IF(AND(U23&lt;30,$N$8=$Y$41),Y42,0)))))))</f>
        <v>9.3000000000000007</v>
      </c>
      <c r="R42" s="215" t="s">
        <v>518</v>
      </c>
      <c r="S42" s="215">
        <v>5.0999999999999996</v>
      </c>
      <c r="T42" s="215">
        <v>8.1</v>
      </c>
      <c r="U42" s="215">
        <v>9.3000000000000007</v>
      </c>
      <c r="V42" s="215">
        <v>10.199999999999999</v>
      </c>
      <c r="W42" s="215">
        <v>10.7</v>
      </c>
      <c r="X42" s="215">
        <v>11.2</v>
      </c>
      <c r="Y42" s="215">
        <v>11.6</v>
      </c>
      <c r="Z42" s="215">
        <f>IF(AND($G$2=R42,OR($N$8=$S$41,$N$8=$T$41,$N$8=$U$41)),0.0299,
IF(AND($G$2=R42,OR($N$8=$X$41,$N$8=$W$41,$N$8=$V$41,$N$8=$Y$41)),0,0))</f>
        <v>0</v>
      </c>
      <c r="AA42" s="215" t="e">
        <f ca="1">Ануїтетна_графік_Авто!G43</f>
        <v>#VALUE!</v>
      </c>
      <c r="AB42" s="215">
        <f t="shared" si="2"/>
        <v>39</v>
      </c>
      <c r="AD42" s="215" t="e">
        <f ca="1">Ануїтетна_графік_Авто!J43</f>
        <v>#VALUE!</v>
      </c>
      <c r="AF42" s="215" t="e">
        <f ca="1">Ануїтетна_графік_Авто!K43</f>
        <v>#VALUE!</v>
      </c>
      <c r="AH42" s="215" t="e">
        <f ca="1">Ануїтетна_графік_Авто!M43</f>
        <v>#VALUE!</v>
      </c>
      <c r="AJ42" s="215">
        <f t="shared" ca="1" si="0"/>
        <v>47330</v>
      </c>
      <c r="AK42" s="215">
        <v>39</v>
      </c>
      <c r="AM42" s="215" t="e">
        <f ca="1">Ануїтетна_графік_Авто!J43</f>
        <v>#VALUE!</v>
      </c>
      <c r="AO42" s="215" t="e">
        <f ca="1">Ануїтетна_графік_Авто!K43</f>
        <v>#VALUE!</v>
      </c>
      <c r="AQ42" s="215" t="e">
        <f ca="1">Ануїтетна_графік_Авто!M43</f>
        <v>#VALUE!</v>
      </c>
      <c r="AS42" s="215" t="e">
        <f t="shared" ca="1" si="1"/>
        <v>#VALUE!</v>
      </c>
    </row>
    <row r="43" spans="2:45" x14ac:dyDescent="0.25">
      <c r="B43" s="215">
        <v>19</v>
      </c>
      <c r="D43" s="215">
        <v>19489.0896391444</v>
      </c>
      <c r="F43" s="215">
        <v>4161.9103608556006</v>
      </c>
      <c r="H43" s="215">
        <v>23651</v>
      </c>
      <c r="K43" s="215" t="s">
        <v>304</v>
      </c>
      <c r="P43" s="215" t="str">
        <f>IF($G$2=R43,IF(AND($G$2=R43,$U$23&lt;30),"Авансовий платіж має бути не менше 30%",IF(AND($G$2=R43,$U$23&gt;39.999),"Авансовий платіж має бути менше 40%","Авансовий платіж достатній")),"")</f>
        <v/>
      </c>
      <c r="Q43" s="215">
        <f>IF(AND($U$23&gt;=30,$U$23&lt;40,$N$8=$S$41),S43,
IF(AND($U$23&gt;=30,$U$23&lt;40,$N$8=$T$41),T43,
IF(AND($U$23&gt;=30,$U$23&lt;40,$N$8=$U$41),U43,
IF(AND($U$23&gt;=30,$U$23&lt;40,$N$8=$V$41),V43,
IF(AND($U$23&gt;=30,$U$23&lt;40,$N$8=$W$41),W43,
IF(AND($U$23&gt;=30,$U$23&lt;40,$N$8=$X$41),X43,
IF(AND($U$23&gt;=30,$U$23&lt;40,$N$8=$Y$41),Y43,0)))))))</f>
        <v>0</v>
      </c>
      <c r="R43" s="215" t="s">
        <v>519</v>
      </c>
      <c r="S43" s="215">
        <v>4.29</v>
      </c>
      <c r="T43" s="215">
        <v>7.25</v>
      </c>
      <c r="U43" s="215">
        <v>8.8000000000000007</v>
      </c>
      <c r="V43" s="215">
        <v>9.49</v>
      </c>
      <c r="W43" s="215">
        <v>10.1</v>
      </c>
      <c r="X43" s="215">
        <v>10.7</v>
      </c>
      <c r="Y43" s="215">
        <v>10.99</v>
      </c>
      <c r="Z43" s="215">
        <f>IF(AND($G$2=R43,OR($N$8=$S$41,$N$8=$T$41,$N$8=$U$41)),0.0299,
IF(AND($G$2=R43,OR($N$8=$X$41,$N$8=$W$41,$N$8=$V$41,$N$8=$Y$41)),0,0))</f>
        <v>0</v>
      </c>
      <c r="AA43" s="215" t="e">
        <f ca="1">Ануїтетна_графік_Авто!G44</f>
        <v>#VALUE!</v>
      </c>
      <c r="AB43" s="215">
        <f>AB42+1</f>
        <v>40</v>
      </c>
      <c r="AD43" s="215" t="e">
        <f ca="1">Ануїтетна_графік_Авто!J44</f>
        <v>#VALUE!</v>
      </c>
      <c r="AF43" s="215" t="e">
        <f ca="1">Ануїтетна_графік_Авто!K44</f>
        <v>#VALUE!</v>
      </c>
      <c r="AH43" s="215" t="e">
        <f ca="1">Ануїтетна_графік_Авто!M44</f>
        <v>#VALUE!</v>
      </c>
      <c r="AJ43" s="215">
        <f t="shared" ca="1" si="0"/>
        <v>47361</v>
      </c>
      <c r="AK43" s="215">
        <v>40</v>
      </c>
      <c r="AM43" s="215" t="e">
        <f ca="1">Ануїтетна_графік_Авто!J44</f>
        <v>#VALUE!</v>
      </c>
      <c r="AO43" s="215" t="e">
        <f ca="1">Ануїтетна_графік_Авто!K44</f>
        <v>#VALUE!</v>
      </c>
      <c r="AQ43" s="215" t="e">
        <f ca="1">Ануїтетна_графік_Авто!M44</f>
        <v>#VALUE!</v>
      </c>
      <c r="AS43" s="215" t="e">
        <f t="shared" ca="1" si="1"/>
        <v>#VALUE!</v>
      </c>
    </row>
    <row r="44" spans="2:45" x14ac:dyDescent="0.25">
      <c r="B44" s="215">
        <v>20</v>
      </c>
      <c r="D44" s="215">
        <v>19568.361002304409</v>
      </c>
      <c r="F44" s="215">
        <v>4082.6389976955902</v>
      </c>
      <c r="H44" s="215">
        <v>23651</v>
      </c>
      <c r="Q44" s="215">
        <f>IF(AND($U$23&gt;=40,$U$23&lt;50,$N$8=$S$41),S44,
IF(AND($U$23&gt;=40,$U$23&lt;50,$N$8=$T$41),T44,
IF(AND($U$23&gt;=40,$U$23&lt;50,$N$8=$U$41),U44,
IF(AND($U$23&gt;=40,$U$23&lt;50,$N$8=$V$41),V44,
IF(AND($U$23&gt;=40,$U$23&lt;50,$N$8=$W$41),W44,
IF(AND($U$23&gt;=40,$U$23&lt;50,$N$8=$X$41),X44,
IF(AND($U$23&gt;=40,$U$23&lt;50,$N$8=$Y$41),Y44,0)))))))</f>
        <v>0</v>
      </c>
      <c r="R44" s="215" t="s">
        <v>520</v>
      </c>
      <c r="S44" s="215">
        <v>3.29</v>
      </c>
      <c r="T44" s="215">
        <v>6.25</v>
      </c>
      <c r="U44" s="215">
        <v>7.7</v>
      </c>
      <c r="V44" s="215">
        <v>8.6</v>
      </c>
      <c r="W44" s="215">
        <v>9.3000000000000007</v>
      </c>
      <c r="X44" s="215">
        <v>9.8000000000000007</v>
      </c>
      <c r="Y44" s="215">
        <v>10.3</v>
      </c>
      <c r="AA44" s="215" t="e">
        <f ca="1">Ануїтетна_графік_Авто!G45</f>
        <v>#VALUE!</v>
      </c>
      <c r="AB44" s="215">
        <f t="shared" si="2"/>
        <v>41</v>
      </c>
      <c r="AD44" s="215" t="e">
        <f ca="1">Ануїтетна_графік_Авто!J45</f>
        <v>#VALUE!</v>
      </c>
      <c r="AF44" s="215" t="e">
        <f ca="1">Ануїтетна_графік_Авто!K45</f>
        <v>#VALUE!</v>
      </c>
      <c r="AH44" s="215" t="e">
        <f ca="1">Ануїтетна_графік_Авто!M45</f>
        <v>#VALUE!</v>
      </c>
      <c r="AJ44" s="215">
        <f t="shared" ca="1" si="0"/>
        <v>47391</v>
      </c>
      <c r="AK44" s="215">
        <v>41</v>
      </c>
      <c r="AM44" s="215" t="e">
        <f ca="1">Ануїтетна_графік_Авто!J45</f>
        <v>#VALUE!</v>
      </c>
      <c r="AO44" s="215" t="e">
        <f ca="1">Ануїтетна_графік_Авто!K45</f>
        <v>#VALUE!</v>
      </c>
      <c r="AQ44" s="215" t="e">
        <f ca="1">Ануїтетна_графік_Авто!M45</f>
        <v>#VALUE!</v>
      </c>
      <c r="AS44" s="215" t="e">
        <f t="shared" ca="1" si="1"/>
        <v>#VALUE!</v>
      </c>
    </row>
    <row r="45" spans="2:45" x14ac:dyDescent="0.25">
      <c r="B45" s="215">
        <v>21</v>
      </c>
      <c r="D45" s="215">
        <v>19787.249427082686</v>
      </c>
      <c r="F45" s="215">
        <v>3863.7505729173145</v>
      </c>
      <c r="H45" s="215">
        <v>23651</v>
      </c>
      <c r="Q45" s="215">
        <f>IF(AND($U$23&gt;=50,$U$23&lt;60,$N$8=$S$41),S45,
IF(AND($U$23&gt;=50,$U$23&lt;60,$N$8=$T$41),T45,
IF(AND($U$23&gt;=50,$U$23&lt;60,$N$8=$U$41),U45,
IF(AND($U$23&gt;=50,$U$23&lt;60,$N$8=$V$41),V45,
IF(AND($U$23&gt;=50,$U$23&lt;60,$N$8=$W$41),W45,
IF(AND($U$23&gt;=50,$U$23&lt;60,$N$8=$X$41),X45,
IF(AND($U$23&gt;=50,$U$23&lt;60,$N$8=$Y$41),Y45,0)))))))</f>
        <v>0</v>
      </c>
      <c r="R45" s="215" t="s">
        <v>521</v>
      </c>
      <c r="S45" s="215">
        <v>1.79</v>
      </c>
      <c r="T45" s="215">
        <v>4.8</v>
      </c>
      <c r="U45" s="215">
        <v>6.3</v>
      </c>
      <c r="V45" s="215">
        <v>7.3</v>
      </c>
      <c r="W45" s="215">
        <v>8.1</v>
      </c>
      <c r="X45" s="215">
        <v>8.6999999999999993</v>
      </c>
      <c r="Y45" s="215">
        <v>9.25</v>
      </c>
      <c r="AA45" s="215" t="e">
        <f ca="1">Ануїтетна_графік_Авто!G46</f>
        <v>#VALUE!</v>
      </c>
      <c r="AB45" s="215">
        <f t="shared" si="2"/>
        <v>42</v>
      </c>
      <c r="AD45" s="215" t="e">
        <f ca="1">Ануїтетна_графік_Авто!J46</f>
        <v>#VALUE!</v>
      </c>
      <c r="AF45" s="215" t="e">
        <f ca="1">Ануїтетна_графік_Авто!K46</f>
        <v>#VALUE!</v>
      </c>
      <c r="AH45" s="215" t="e">
        <f ca="1">Ануїтетна_графік_Авто!M46</f>
        <v>#VALUE!</v>
      </c>
      <c r="AJ45" s="215">
        <f t="shared" ca="1" si="0"/>
        <v>47422</v>
      </c>
      <c r="AK45" s="215">
        <v>42</v>
      </c>
      <c r="AM45" s="215" t="e">
        <f ca="1">Ануїтетна_графік_Авто!J46</f>
        <v>#VALUE!</v>
      </c>
      <c r="AO45" s="215" t="e">
        <f ca="1">Ануїтетна_графік_Авто!K46</f>
        <v>#VALUE!</v>
      </c>
      <c r="AQ45" s="215" t="e">
        <f ca="1">Ануїтетна_графік_Авто!M46</f>
        <v>#VALUE!</v>
      </c>
      <c r="AS45" s="215" t="e">
        <f t="shared" ca="1" si="1"/>
        <v>#VALUE!</v>
      </c>
    </row>
    <row r="46" spans="2:45" x14ac:dyDescent="0.25">
      <c r="B46" s="215">
        <v>22</v>
      </c>
      <c r="D46" s="215">
        <v>20361.077949560502</v>
      </c>
      <c r="F46" s="215">
        <v>3289.9220504394975</v>
      </c>
      <c r="H46" s="215">
        <v>23651</v>
      </c>
      <c r="K46" s="215" t="s">
        <v>305</v>
      </c>
      <c r="N46" s="215">
        <f>'Калькулятор (реал. ставка)'!C18</f>
        <v>33333.333333333328</v>
      </c>
      <c r="Q46" s="215">
        <f>IF(AND($U$23&gt;=60,$U$23&lt;70,$N$8=$S$41),S46,
IF(AND($U$23&gt;=60,$U$23&lt;70,$N$8=$T$41),T46,
IF(AND($U$23&gt;=60,$U$23&lt;70,$N$8=$U$41),U46,
IF(AND($U$23&gt;=60,$U$23&lt;70,$N$8=$V$41),V46,
IF(AND($U$23&gt;=60,$U$23&lt;70,$N$8=$W$41),W46,
IF(AND($U$23&gt;=60,$U$23&lt;70,$N$8=$X$41),X46,
IF(AND($U$23&gt;=60,$U$23&lt;70,$N$8=$Y$41),Y46,0)))))))</f>
        <v>0</v>
      </c>
      <c r="R46" s="215" t="s">
        <v>522</v>
      </c>
      <c r="S46" s="215">
        <v>0.01</v>
      </c>
      <c r="T46" s="215">
        <v>2.65</v>
      </c>
      <c r="U46" s="215">
        <v>4.25</v>
      </c>
      <c r="V46" s="215">
        <v>5.39</v>
      </c>
      <c r="W46" s="215">
        <v>6.29</v>
      </c>
      <c r="X46" s="215">
        <v>7</v>
      </c>
      <c r="Y46" s="215">
        <v>7.65</v>
      </c>
      <c r="AA46" s="215" t="e">
        <f ca="1">Ануїтетна_графік_Авто!G47</f>
        <v>#VALUE!</v>
      </c>
      <c r="AB46" s="215">
        <f t="shared" si="2"/>
        <v>43</v>
      </c>
      <c r="AD46" s="215" t="e">
        <f ca="1">Ануїтетна_графік_Авто!J47</f>
        <v>#VALUE!</v>
      </c>
      <c r="AF46" s="215" t="e">
        <f ca="1">Ануїтетна_графік_Авто!K47</f>
        <v>#VALUE!</v>
      </c>
      <c r="AH46" s="215" t="e">
        <f ca="1">Ануїтетна_графік_Авто!M47</f>
        <v>#VALUE!</v>
      </c>
      <c r="AJ46" s="215">
        <f t="shared" ca="1" si="0"/>
        <v>47452</v>
      </c>
      <c r="AK46" s="215">
        <v>43</v>
      </c>
      <c r="AM46" s="215" t="e">
        <f ca="1">Ануїтетна_графік_Авто!J47</f>
        <v>#VALUE!</v>
      </c>
      <c r="AO46" s="215" t="e">
        <f ca="1">Ануїтетна_графік_Авто!K47</f>
        <v>#VALUE!</v>
      </c>
      <c r="AQ46" s="215" t="e">
        <f ca="1">Ануїтетна_графік_Авто!M47</f>
        <v>#VALUE!</v>
      </c>
      <c r="AS46" s="215" t="e">
        <f t="shared" ca="1" si="1"/>
        <v>#VALUE!</v>
      </c>
    </row>
    <row r="47" spans="2:45" x14ac:dyDescent="0.25">
      <c r="B47" s="215">
        <v>23</v>
      </c>
      <c r="D47" s="215">
        <v>20236.341925729921</v>
      </c>
      <c r="F47" s="215">
        <v>3414.6580742700799</v>
      </c>
      <c r="H47" s="215">
        <v>23651</v>
      </c>
      <c r="Q47" s="215">
        <f>IF(AND($U$23&gt;=70,$N$8=$S$41),S47,
IF(AND($U$23&gt;=70,$N$8=$T$41),T47,
IF(AND($U$23&gt;=70,$N$8=$U$41),U47,
IF(AND($U$23&gt;=70,$N$8=$V$41),V47,
IF(AND($U$23&gt;=70,$N$8=$W$41),W47,
IF(AND($U$23&gt;=70,$N$8=$X$41),X47,
IF(AND($U$23&gt;=70,$N$8=$Y$41),Y47,0)))))))</f>
        <v>0</v>
      </c>
      <c r="R47" s="215" t="s">
        <v>523</v>
      </c>
      <c r="S47" s="215">
        <v>0.01</v>
      </c>
      <c r="T47" s="215">
        <v>0.01</v>
      </c>
      <c r="U47" s="215">
        <v>0.75</v>
      </c>
      <c r="V47" s="215">
        <v>2.1</v>
      </c>
      <c r="W47" s="215">
        <v>3.19</v>
      </c>
      <c r="X47" s="215">
        <v>4.0999999999999996</v>
      </c>
      <c r="Y47" s="215">
        <v>4.8499999999999996</v>
      </c>
      <c r="AA47" s="215" t="e">
        <f ca="1">Ануїтетна_графік_Авто!G48</f>
        <v>#VALUE!</v>
      </c>
      <c r="AB47" s="215">
        <f t="shared" si="2"/>
        <v>44</v>
      </c>
      <c r="AD47" s="215" t="e">
        <f ca="1">Ануїтетна_графік_Авто!J48</f>
        <v>#VALUE!</v>
      </c>
      <c r="AF47" s="215" t="e">
        <f ca="1">Ануїтетна_графік_Авто!K48</f>
        <v>#VALUE!</v>
      </c>
      <c r="AH47" s="215" t="e">
        <f ca="1">Ануїтетна_графік_Авто!M48</f>
        <v>#VALUE!</v>
      </c>
      <c r="AJ47" s="215">
        <f t="shared" ca="1" si="0"/>
        <v>47483</v>
      </c>
      <c r="AK47" s="215">
        <v>44</v>
      </c>
      <c r="AM47" s="215" t="e">
        <f ca="1">Ануїтетна_графік_Авто!J48</f>
        <v>#VALUE!</v>
      </c>
      <c r="AO47" s="215" t="e">
        <f ca="1">Ануїтетна_графік_Авто!K48</f>
        <v>#VALUE!</v>
      </c>
      <c r="AQ47" s="215" t="e">
        <f ca="1">Ануїтетна_графік_Авто!M48</f>
        <v>#VALUE!</v>
      </c>
      <c r="AS47" s="215" t="e">
        <f t="shared" ca="1" si="1"/>
        <v>#VALUE!</v>
      </c>
    </row>
    <row r="48" spans="2:45" x14ac:dyDescent="0.25">
      <c r="B48" s="215">
        <v>24</v>
      </c>
      <c r="D48" s="215">
        <v>20565.550587536272</v>
      </c>
      <c r="F48" s="215">
        <v>3085.4494124637276</v>
      </c>
      <c r="H48" s="215">
        <v>23651</v>
      </c>
      <c r="AA48" s="215" t="e">
        <f ca="1">Ануїтетна_графік_Авто!G49</f>
        <v>#VALUE!</v>
      </c>
      <c r="AB48" s="215">
        <f t="shared" si="2"/>
        <v>45</v>
      </c>
      <c r="AD48" s="215" t="e">
        <f ca="1">Ануїтетна_графік_Авто!J49</f>
        <v>#VALUE!</v>
      </c>
      <c r="AF48" s="215" t="e">
        <f ca="1">Ануїтетна_графік_Авто!K49</f>
        <v>#VALUE!</v>
      </c>
      <c r="AH48" s="215" t="e">
        <f ca="1">Ануїтетна_графік_Авто!M49</f>
        <v>#VALUE!</v>
      </c>
      <c r="AJ48" s="215">
        <f t="shared" ca="1" si="0"/>
        <v>47514</v>
      </c>
      <c r="AK48" s="215">
        <v>45</v>
      </c>
      <c r="AM48" s="215" t="e">
        <f ca="1">Ануїтетна_графік_Авто!J49</f>
        <v>#VALUE!</v>
      </c>
      <c r="AO48" s="215" t="e">
        <f ca="1">Ануїтетна_графік_Авто!K49</f>
        <v>#VALUE!</v>
      </c>
      <c r="AQ48" s="215" t="e">
        <f ca="1">Ануїтетна_графік_Авто!M49</f>
        <v>#VALUE!</v>
      </c>
      <c r="AS48" s="215" t="e">
        <f t="shared" ca="1" si="1"/>
        <v>#VALUE!</v>
      </c>
    </row>
    <row r="49" spans="2:45" x14ac:dyDescent="0.25">
      <c r="B49" s="215">
        <v>25</v>
      </c>
      <c r="D49" s="215">
        <v>20692.745095067898</v>
      </c>
      <c r="F49" s="215">
        <v>2958.2549049321033</v>
      </c>
      <c r="H49" s="215">
        <v>23651</v>
      </c>
      <c r="K49" s="215" t="s">
        <v>281</v>
      </c>
      <c r="N49" s="215">
        <f>N25+N37+N40+N43+N46+IF(N31=N15,N31,0)+IF(N34=N12,N34,0)+IF(N28=G10,N28,0)</f>
        <v>2477933.3333333335</v>
      </c>
      <c r="P49" s="215" t="str">
        <f>CONCATENATE(P51,P52,P53,P54,P55)</f>
        <v/>
      </c>
      <c r="Q49" s="215">
        <f>SUM(Q51:Q56)</f>
        <v>2.99</v>
      </c>
      <c r="Z49" s="215">
        <f>SUM(Z51:Z55)</f>
        <v>0</v>
      </c>
      <c r="AA49" s="215" t="e">
        <f ca="1">Ануїтетна_графік_Авто!G50</f>
        <v>#VALUE!</v>
      </c>
      <c r="AB49" s="215">
        <f t="shared" si="2"/>
        <v>46</v>
      </c>
      <c r="AD49" s="215" t="e">
        <f ca="1">Ануїтетна_графік_Авто!J50</f>
        <v>#VALUE!</v>
      </c>
      <c r="AF49" s="215" t="e">
        <f ca="1">Ануїтетна_графік_Авто!K50</f>
        <v>#VALUE!</v>
      </c>
      <c r="AH49" s="215" t="e">
        <f ca="1">Ануїтетна_графік_Авто!M50</f>
        <v>#VALUE!</v>
      </c>
      <c r="AJ49" s="215">
        <f t="shared" ca="1" si="0"/>
        <v>47542</v>
      </c>
      <c r="AK49" s="215">
        <v>46</v>
      </c>
      <c r="AM49" s="215" t="e">
        <f ca="1">Ануїтетна_графік_Авто!J50</f>
        <v>#VALUE!</v>
      </c>
      <c r="AO49" s="215" t="e">
        <f ca="1">Ануїтетна_графік_Авто!K50</f>
        <v>#VALUE!</v>
      </c>
      <c r="AQ49" s="215" t="e">
        <f ca="1">Ануїтетна_графік_Авто!M50</f>
        <v>#VALUE!</v>
      </c>
      <c r="AS49" s="215" t="e">
        <f t="shared" ca="1" si="1"/>
        <v>#VALUE!</v>
      </c>
    </row>
    <row r="50" spans="2:45" x14ac:dyDescent="0.25">
      <c r="B50" s="215">
        <v>26</v>
      </c>
      <c r="D50" s="215">
        <v>21012.17163830046</v>
      </c>
      <c r="F50" s="215">
        <v>2638.8283616995386</v>
      </c>
      <c r="H50" s="215">
        <v>23651</v>
      </c>
      <c r="P50" s="215" t="s">
        <v>524</v>
      </c>
      <c r="Q50" s="215" t="s">
        <v>274</v>
      </c>
      <c r="R50" s="215" t="s">
        <v>302</v>
      </c>
      <c r="S50" s="215">
        <v>12</v>
      </c>
      <c r="T50" s="215">
        <v>24</v>
      </c>
      <c r="U50" s="215">
        <v>36</v>
      </c>
      <c r="V50" s="215">
        <v>48</v>
      </c>
      <c r="W50" s="215">
        <v>60</v>
      </c>
      <c r="X50" s="215">
        <v>72</v>
      </c>
      <c r="Y50" s="215">
        <v>84</v>
      </c>
      <c r="Z50" s="215" t="s">
        <v>303</v>
      </c>
      <c r="AA50" s="215" t="e">
        <f ca="1">Ануїтетна_графік_Авто!G51</f>
        <v>#VALUE!</v>
      </c>
      <c r="AB50" s="215">
        <f t="shared" si="2"/>
        <v>47</v>
      </c>
      <c r="AD50" s="215" t="e">
        <f ca="1">Ануїтетна_графік_Авто!J51</f>
        <v>#VALUE!</v>
      </c>
      <c r="AF50" s="215" t="e">
        <f ca="1">Ануїтетна_графік_Авто!K51</f>
        <v>#VALUE!</v>
      </c>
      <c r="AH50" s="215" t="e">
        <f ca="1">Ануїтетна_графік_Авто!M51</f>
        <v>#VALUE!</v>
      </c>
      <c r="AJ50" s="215">
        <f t="shared" ca="1" si="0"/>
        <v>47573</v>
      </c>
      <c r="AK50" s="215">
        <v>47</v>
      </c>
      <c r="AM50" s="215" t="e">
        <f ca="1">Ануїтетна_графік_Авто!J51</f>
        <v>#VALUE!</v>
      </c>
      <c r="AO50" s="215" t="e">
        <f ca="1">Ануїтетна_графік_Авто!K51</f>
        <v>#VALUE!</v>
      </c>
      <c r="AQ50" s="215" t="e">
        <f ca="1">Ануїтетна_графік_Авто!M51</f>
        <v>#VALUE!</v>
      </c>
      <c r="AS50" s="215" t="e">
        <f t="shared" ca="1" si="1"/>
        <v>#VALUE!</v>
      </c>
    </row>
    <row r="51" spans="2:45" x14ac:dyDescent="0.25">
      <c r="B51" s="215">
        <v>27</v>
      </c>
      <c r="D51" s="215">
        <v>21159.249342827898</v>
      </c>
      <c r="F51" s="215">
        <v>2491.7506571721005</v>
      </c>
      <c r="H51" s="215">
        <v>23651</v>
      </c>
      <c r="P51" s="215" t="str">
        <f>IF($G$2=R51,IF(AND($G$2=R51,$U$23&lt;20),"Авансовий платіж має бути не менше 20%",IF(AND($G$2=R51,$U$23&gt;29.999),"Авансовий платіж має бути менше 30%","Авансовий платіж достатній")),"")</f>
        <v/>
      </c>
      <c r="Q51" s="215">
        <f>IF(AND(U23&lt;30,$N$8=$S$41),S51,
IF(AND(U23&lt;30,$N$8=$T$41),T51,
IF(AND(U23&lt;30,$N$8=$U$41),U51,
IF(AND(U23&lt;30,$N$8=$V$41),V51,
IF(AND(U23&lt;30,$N$8=$W$41),W51,
IF(AND(U23&lt;30,$N$8=$X$41),X51,
IF(AND(U23&lt;30,$N$8=$Y$41),Y51,0)))))))</f>
        <v>2.99</v>
      </c>
      <c r="R51" s="215" t="s">
        <v>518</v>
      </c>
      <c r="S51" s="215">
        <v>2.99</v>
      </c>
      <c r="T51" s="215">
        <v>2.99</v>
      </c>
      <c r="U51" s="215">
        <v>2.99</v>
      </c>
      <c r="V51" s="215">
        <v>2.99</v>
      </c>
      <c r="W51" s="215">
        <v>2.99</v>
      </c>
      <c r="X51" s="215">
        <v>2.99</v>
      </c>
      <c r="Y51" s="215">
        <v>2.99</v>
      </c>
      <c r="Z51" s="215">
        <f>IF(AND($G$2=R51,OR($N$8=$S$41,$N$8=$T$41,$N$8=$U$41)),0.0299,
IF(AND($G$2=R51,OR($N$8=$X$41,$N$8=$W$41,$N$8=$V$41,$N$8=$Y$41)),0,0))</f>
        <v>0</v>
      </c>
      <c r="AA51" s="215" t="e">
        <f ca="1">Ануїтетна_графік_Авто!G52</f>
        <v>#VALUE!</v>
      </c>
      <c r="AB51" s="215">
        <f t="shared" si="2"/>
        <v>48</v>
      </c>
      <c r="AD51" s="215" t="e">
        <f ca="1">Ануїтетна_графік_Авто!J52</f>
        <v>#VALUE!</v>
      </c>
      <c r="AF51" s="215" t="e">
        <f ca="1">Ануїтетна_графік_Авто!K52</f>
        <v>#VALUE!</v>
      </c>
      <c r="AH51" s="215" t="e">
        <f ca="1">Ануїтетна_графік_Авто!M52</f>
        <v>#VALUE!</v>
      </c>
      <c r="AJ51" s="215">
        <f t="shared" ca="1" si="0"/>
        <v>47603</v>
      </c>
      <c r="AK51" s="215">
        <v>48</v>
      </c>
      <c r="AM51" s="215" t="e">
        <f ca="1">Ануїтетна_графік_Авто!J52</f>
        <v>#VALUE!</v>
      </c>
      <c r="AO51" s="215" t="e">
        <f ca="1">Ануїтетна_графік_Авто!K52</f>
        <v>#VALUE!</v>
      </c>
      <c r="AQ51" s="215" t="e">
        <f ca="1">Ануїтетна_графік_Авто!M52</f>
        <v>#VALUE!</v>
      </c>
      <c r="AS51" s="215" t="e">
        <f t="shared" ca="1" si="1"/>
        <v>#VALUE!</v>
      </c>
    </row>
    <row r="52" spans="2:45" x14ac:dyDescent="0.25">
      <c r="B52" s="215">
        <v>28</v>
      </c>
      <c r="D52" s="215">
        <v>21395.933179435215</v>
      </c>
      <c r="F52" s="215">
        <v>2255.0668205647848</v>
      </c>
      <c r="H52" s="215">
        <v>23651</v>
      </c>
      <c r="P52" s="215" t="str">
        <f>IF($G$2=R52,IF(AND($G$2=R52,$U$23&lt;30),"Авансовий платіж має бути не менше 30%",IF(AND($G$2=R52,$U$23&gt;39.999),"Авансовий платіж має бути менше 40%","Авансовий платіж достатній")),"")</f>
        <v/>
      </c>
      <c r="Q52" s="215">
        <f>IF(AND($U$23&gt;=30,$U$23&lt;40,$N$8=$S$41),S52,
IF(AND($U$23&gt;=30,$U$23&lt;40,$N$8=$T$41),T52,
IF(AND($U$23&gt;=30,$U$23&lt;40,$N$8=$U$41),U52,
IF(AND($U$23&gt;=30,$U$23&lt;40,$N$8=$V$41),V52,
IF(AND($U$23&gt;=30,$U$23&lt;40,$N$8=$W$41),W52,
IF(AND($U$23&gt;=30,$U$23&lt;40,$N$8=$X$41),X52,
IF(AND($U$23&gt;=30,$U$23&lt;40,$N$8=$Y$41),Y52,0)))))))</f>
        <v>0</v>
      </c>
      <c r="R52" s="215" t="s">
        <v>519</v>
      </c>
      <c r="S52" s="215">
        <v>2.99</v>
      </c>
      <c r="T52" s="215">
        <v>2.99</v>
      </c>
      <c r="U52" s="215">
        <v>2.99</v>
      </c>
      <c r="V52" s="215">
        <v>2.99</v>
      </c>
      <c r="W52" s="215">
        <v>2.99</v>
      </c>
      <c r="X52" s="215">
        <v>2.99</v>
      </c>
      <c r="Y52" s="215">
        <v>2.99</v>
      </c>
      <c r="Z52" s="215">
        <f>IF(AND($G$2=R52,OR($N$8=$S$41,$N$8=$T$41,$N$8=$U$41)),0.0299,
IF(AND($G$2=R52,OR($N$8=$X$41,$N$8=$W$41,$N$8=$V$41,$N$8=$Y$41)),0,0))</f>
        <v>0</v>
      </c>
      <c r="AA52" s="215" t="e">
        <f ca="1">Ануїтетна_графік_Авто!G53</f>
        <v>#VALUE!</v>
      </c>
      <c r="AB52" s="215">
        <f t="shared" si="2"/>
        <v>49</v>
      </c>
      <c r="AD52" s="215" t="e">
        <f ca="1">Ануїтетна_графік_Авто!J53</f>
        <v>#VALUE!</v>
      </c>
      <c r="AF52" s="215" t="e">
        <f ca="1">Ануїтетна_графік_Авто!K53</f>
        <v>#VALUE!</v>
      </c>
      <c r="AH52" s="215" t="e">
        <f ca="1">Ануїтетна_графік_Авто!M53</f>
        <v>#VALUE!</v>
      </c>
      <c r="AJ52" s="215">
        <f t="shared" ca="1" si="0"/>
        <v>47634</v>
      </c>
      <c r="AK52" s="215">
        <v>49</v>
      </c>
      <c r="AM52" s="215" t="e">
        <f ca="1">Ануїтетна_графік_Авто!J53</f>
        <v>#VALUE!</v>
      </c>
      <c r="AO52" s="215" t="e">
        <f ca="1">Ануїтетна_графік_Авто!K53</f>
        <v>#VALUE!</v>
      </c>
      <c r="AQ52" s="215" t="e">
        <f ca="1">Ануїтетна_графік_Авто!M53</f>
        <v>#VALUE!</v>
      </c>
      <c r="AS52" s="215" t="e">
        <f t="shared" ca="1" si="1"/>
        <v>#VALUE!</v>
      </c>
    </row>
    <row r="53" spans="2:45" x14ac:dyDescent="0.25">
      <c r="B53" s="215">
        <v>29</v>
      </c>
      <c r="D53" s="215">
        <v>21700.288247088563</v>
      </c>
      <c r="F53" s="215">
        <v>1950.711752911438</v>
      </c>
      <c r="H53" s="215">
        <v>23651</v>
      </c>
      <c r="Q53" s="215">
        <f>IF(AND($U$23&gt;=40,$U$23&lt;50,$N$8=$S$41),S53,
IF(AND($U$23&gt;=40,$U$23&lt;50,$N$8=$T$41),T53,
IF(AND($U$23&gt;=40,$U$23&lt;50,$N$8=$U$41),U53,
IF(AND($U$23&gt;=40,$U$23&lt;50,$N$8=$V$41),V53,
IF(AND($U$23&gt;=40,$U$23&lt;50,$N$8=$W$41),W53,
IF(AND($U$23&gt;=40,$U$23&lt;50,$N$8=$X$41),X53,
IF(AND($U$23&gt;=40,$U$23&lt;50,$N$8=$Y$41),Y53,0)))))))</f>
        <v>0</v>
      </c>
      <c r="R53" s="215" t="s">
        <v>520</v>
      </c>
      <c r="S53" s="215">
        <v>2.99</v>
      </c>
      <c r="T53" s="215">
        <v>2.99</v>
      </c>
      <c r="U53" s="215">
        <v>2.99</v>
      </c>
      <c r="V53" s="215">
        <v>2.99</v>
      </c>
      <c r="W53" s="215">
        <v>2.99</v>
      </c>
      <c r="X53" s="215">
        <v>2.99</v>
      </c>
      <c r="Y53" s="215">
        <v>2.99</v>
      </c>
      <c r="AA53" s="215" t="e">
        <f ca="1">Ануїтетна_графік_Авто!G54</f>
        <v>#VALUE!</v>
      </c>
      <c r="AB53" s="215">
        <f t="shared" si="2"/>
        <v>50</v>
      </c>
      <c r="AD53" s="215" t="e">
        <f ca="1">Ануїтетна_графік_Авто!J54</f>
        <v>#VALUE!</v>
      </c>
      <c r="AF53" s="215" t="e">
        <f ca="1">Ануїтетна_графік_Авто!K54</f>
        <v>#VALUE!</v>
      </c>
      <c r="AH53" s="215" t="e">
        <f ca="1">Ануїтетна_графік_Авто!M54</f>
        <v>#VALUE!</v>
      </c>
      <c r="AJ53" s="215">
        <f t="shared" ca="1" si="0"/>
        <v>47664</v>
      </c>
      <c r="AK53" s="215">
        <v>50</v>
      </c>
      <c r="AM53" s="215" t="e">
        <f ca="1">Ануїтетна_графік_Авто!J54</f>
        <v>#VALUE!</v>
      </c>
      <c r="AO53" s="215" t="e">
        <f ca="1">Ануїтетна_графік_Авто!K54</f>
        <v>#VALUE!</v>
      </c>
      <c r="AQ53" s="215" t="e">
        <f ca="1">Ануїтетна_графік_Авто!M54</f>
        <v>#VALUE!</v>
      </c>
      <c r="AS53" s="215" t="e">
        <f t="shared" ca="1" si="1"/>
        <v>#VALUE!</v>
      </c>
    </row>
    <row r="54" spans="2:45" x14ac:dyDescent="0.25">
      <c r="B54" s="215">
        <v>30</v>
      </c>
      <c r="D54" s="215">
        <v>21878.000329608738</v>
      </c>
      <c r="F54" s="215">
        <v>1772.9996703912611</v>
      </c>
      <c r="H54" s="215">
        <v>23651</v>
      </c>
      <c r="Q54" s="215">
        <f>IF(AND($U$23&gt;=50,$U$23&lt;60,$N$8=$S$41),S54,
IF(AND($U$23&gt;=50,$U$23&lt;60,$N$8=$T$41),T54,
IF(AND($U$23&gt;=50,$U$23&lt;60,$N$8=$U$41),U54,
IF(AND($U$23&gt;=50,$U$23&lt;60,$N$8=$V$41),V54,
IF(AND($U$23&gt;=50,$U$23&lt;60,$N$8=$W$41),W54,
IF(AND($U$23&gt;=50,$U$23&lt;60,$N$8=$X$41),X54,
IF(AND($U$23&gt;=50,$U$23&lt;60,$N$8=$Y$41),Y54,0)))))))</f>
        <v>0</v>
      </c>
      <c r="R54" s="215" t="s">
        <v>521</v>
      </c>
      <c r="S54" s="215">
        <v>2.99</v>
      </c>
      <c r="T54" s="215">
        <v>2.99</v>
      </c>
      <c r="U54" s="215">
        <v>2.99</v>
      </c>
      <c r="V54" s="215">
        <v>2.99</v>
      </c>
      <c r="W54" s="215">
        <v>2.99</v>
      </c>
      <c r="X54" s="215">
        <v>2.99</v>
      </c>
      <c r="Y54" s="215">
        <v>2.99</v>
      </c>
      <c r="AA54" s="215" t="e">
        <f ca="1">Ануїтетна_графік_Авто!G55</f>
        <v>#VALUE!</v>
      </c>
      <c r="AB54" s="215">
        <f t="shared" si="2"/>
        <v>51</v>
      </c>
      <c r="AD54" s="215" t="e">
        <f ca="1">Ануїтетна_графік_Авто!J55</f>
        <v>#VALUE!</v>
      </c>
      <c r="AF54" s="215" t="e">
        <f ca="1">Ануїтетна_графік_Авто!K55</f>
        <v>#VALUE!</v>
      </c>
      <c r="AH54" s="215" t="e">
        <f ca="1">Ануїтетна_графік_Авто!M55</f>
        <v>#VALUE!</v>
      </c>
      <c r="AJ54" s="215">
        <f t="shared" ca="1" si="0"/>
        <v>47695</v>
      </c>
      <c r="AK54" s="215">
        <v>51</v>
      </c>
      <c r="AM54" s="215" t="e">
        <f ca="1">Ануїтетна_графік_Авто!J55</f>
        <v>#VALUE!</v>
      </c>
      <c r="AO54" s="215" t="e">
        <f ca="1">Ануїтетна_графік_Авто!K55</f>
        <v>#VALUE!</v>
      </c>
      <c r="AQ54" s="215" t="e">
        <f ca="1">Ануїтетна_графік_Авто!M55</f>
        <v>#VALUE!</v>
      </c>
      <c r="AS54" s="215" t="e">
        <f t="shared" ca="1" si="1"/>
        <v>#VALUE!</v>
      </c>
    </row>
    <row r="55" spans="2:45" x14ac:dyDescent="0.25">
      <c r="B55" s="215">
        <v>31</v>
      </c>
      <c r="D55" s="215">
        <v>22172.023220931311</v>
      </c>
      <c r="F55" s="215">
        <v>1478.9767790686897</v>
      </c>
      <c r="H55" s="215">
        <v>23651</v>
      </c>
      <c r="Q55" s="215">
        <f>IF(AND($U$23&gt;=60,$U$23&lt;70,$N$8=$S$41),S55,
IF(AND($U$23&gt;=60,$U$23&lt;70,$N$8=$T$41),T55,
IF(AND($U$23&gt;=60,$U$23&lt;70,$N$8=$U$41),U55,
IF(AND($U$23&gt;=60,$U$23&lt;70,$N$8=$V$41),V55,
IF(AND($U$23&gt;=60,$U$23&lt;70,$N$8=$W$41),W55,
IF(AND($U$23&gt;=60,$U$23&lt;70,$N$8=$X$41),X55,
IF(AND($U$23&gt;=60,$U$23&lt;70,$N$8=$Y$41),Y55,0)))))))</f>
        <v>0</v>
      </c>
      <c r="R55" s="215" t="s">
        <v>522</v>
      </c>
      <c r="S55" s="215">
        <v>2.79</v>
      </c>
      <c r="T55" s="215">
        <v>2.99</v>
      </c>
      <c r="U55" s="215">
        <v>2.99</v>
      </c>
      <c r="V55" s="215">
        <v>2.99</v>
      </c>
      <c r="W55" s="215">
        <v>2.99</v>
      </c>
      <c r="X55" s="215">
        <v>2.99</v>
      </c>
      <c r="Y55" s="215">
        <v>2.99</v>
      </c>
      <c r="AA55" s="215" t="e">
        <f ca="1">Ануїтетна_графік_Авто!G56</f>
        <v>#VALUE!</v>
      </c>
      <c r="AB55" s="215">
        <f t="shared" si="2"/>
        <v>52</v>
      </c>
      <c r="AD55" s="215" t="e">
        <f ca="1">Ануїтетна_графік_Авто!J56</f>
        <v>#VALUE!</v>
      </c>
      <c r="AF55" s="215" t="e">
        <f ca="1">Ануїтетна_графік_Авто!K56</f>
        <v>#VALUE!</v>
      </c>
      <c r="AH55" s="215" t="e">
        <f ca="1">Ануїтетна_графік_Авто!M56</f>
        <v>#VALUE!</v>
      </c>
      <c r="AJ55" s="215">
        <f t="shared" ca="1" si="0"/>
        <v>47726</v>
      </c>
      <c r="AK55" s="215">
        <v>52</v>
      </c>
      <c r="AM55" s="215" t="e">
        <f ca="1">Ануїтетна_графік_Авто!J56</f>
        <v>#VALUE!</v>
      </c>
      <c r="AO55" s="215" t="e">
        <f ca="1">Ануїтетна_графік_Авто!K56</f>
        <v>#VALUE!</v>
      </c>
      <c r="AQ55" s="215" t="e">
        <f ca="1">Ануїтетна_графік_Авто!M56</f>
        <v>#VALUE!</v>
      </c>
      <c r="AS55" s="215" t="e">
        <f t="shared" ca="1" si="1"/>
        <v>#VALUE!</v>
      </c>
    </row>
    <row r="56" spans="2:45" x14ac:dyDescent="0.25">
      <c r="B56" s="215">
        <v>32</v>
      </c>
      <c r="D56" s="215">
        <v>22370.736551374488</v>
      </c>
      <c r="F56" s="215">
        <v>1280.2634486255117</v>
      </c>
      <c r="H56" s="215">
        <v>23651</v>
      </c>
      <c r="Q56" s="215">
        <f>IF(AND($U$23&gt;=70,$N$8=$S$41),S56,
IF(AND($U$23&gt;=70,$N$8=$T$41),T56,
IF(AND($U$23&gt;=70,$N$8=$U$41),U56,
IF(AND($U$23&gt;=70,$N$8=$V$41),V56,
IF(AND($U$23&gt;=70,$N$8=$W$41),W56,
IF(AND($U$23&gt;=70,$N$8=$X$41),X56,
IF(AND($U$23&gt;=70,$N$8=$Y$41),Y56,0)))))))</f>
        <v>0</v>
      </c>
      <c r="R56" s="215" t="s">
        <v>523</v>
      </c>
      <c r="S56" s="215">
        <v>0.89</v>
      </c>
      <c r="T56" s="215">
        <v>2.1</v>
      </c>
      <c r="U56" s="215">
        <v>2.99</v>
      </c>
      <c r="V56" s="215">
        <v>2.99</v>
      </c>
      <c r="W56" s="215">
        <v>2.99</v>
      </c>
      <c r="X56" s="215">
        <v>2.99</v>
      </c>
      <c r="Y56" s="215">
        <v>2.99</v>
      </c>
      <c r="AA56" s="215" t="e">
        <f ca="1">Ануїтетна_графік_Авто!G57</f>
        <v>#VALUE!</v>
      </c>
      <c r="AB56" s="215">
        <f t="shared" si="2"/>
        <v>53</v>
      </c>
      <c r="AD56" s="215" t="e">
        <f ca="1">Ануїтетна_графік_Авто!J57</f>
        <v>#VALUE!</v>
      </c>
      <c r="AF56" s="215" t="e">
        <f ca="1">Ануїтетна_графік_Авто!K57</f>
        <v>#VALUE!</v>
      </c>
      <c r="AH56" s="215" t="e">
        <f ca="1">Ануїтетна_графік_Авто!M57</f>
        <v>#VALUE!</v>
      </c>
      <c r="AJ56" s="215">
        <f t="shared" ca="1" si="0"/>
        <v>47756</v>
      </c>
      <c r="AK56" s="215">
        <v>53</v>
      </c>
      <c r="AM56" s="215" t="e">
        <f ca="1">Ануїтетна_графік_Авто!J57</f>
        <v>#VALUE!</v>
      </c>
      <c r="AO56" s="215" t="e">
        <f ca="1">Ануїтетна_графік_Авто!K57</f>
        <v>#VALUE!</v>
      </c>
      <c r="AQ56" s="215" t="e">
        <f ca="1">Ануїтетна_графік_Авто!M57</f>
        <v>#VALUE!</v>
      </c>
      <c r="AS56" s="215" t="e">
        <f t="shared" ca="1" si="1"/>
        <v>#VALUE!</v>
      </c>
    </row>
    <row r="57" spans="2:45" x14ac:dyDescent="0.25">
      <c r="B57" s="215">
        <v>33</v>
      </c>
      <c r="D57" s="215">
        <v>22620.97188198207</v>
      </c>
      <c r="F57" s="215">
        <v>1030.0281180179286</v>
      </c>
      <c r="H57" s="215">
        <v>23651</v>
      </c>
      <c r="AA57" s="215" t="e">
        <f ca="1">Ануїтетна_графік_Авто!G58</f>
        <v>#VALUE!</v>
      </c>
      <c r="AB57" s="215">
        <f t="shared" si="2"/>
        <v>54</v>
      </c>
      <c r="AD57" s="215" t="e">
        <f ca="1">Ануїтетна_графік_Авто!J58</f>
        <v>#VALUE!</v>
      </c>
      <c r="AF57" s="215" t="e">
        <f ca="1">Ануїтетна_графік_Авто!K58</f>
        <v>#VALUE!</v>
      </c>
      <c r="AH57" s="215" t="e">
        <f ca="1">Ануїтетна_графік_Авто!M58</f>
        <v>#VALUE!</v>
      </c>
      <c r="AJ57" s="215">
        <f t="shared" ca="1" si="0"/>
        <v>47787</v>
      </c>
      <c r="AK57" s="215">
        <v>54</v>
      </c>
      <c r="AM57" s="215" t="e">
        <f ca="1">Ануїтетна_графік_Авто!J58</f>
        <v>#VALUE!</v>
      </c>
      <c r="AO57" s="215" t="e">
        <f ca="1">Ануїтетна_графік_Авто!K58</f>
        <v>#VALUE!</v>
      </c>
      <c r="AQ57" s="215" t="e">
        <f ca="1">Ануїтетна_графік_Авто!M58</f>
        <v>#VALUE!</v>
      </c>
      <c r="AS57" s="215" t="e">
        <f t="shared" ca="1" si="1"/>
        <v>#VALUE!</v>
      </c>
    </row>
    <row r="58" spans="2:45" x14ac:dyDescent="0.25">
      <c r="B58" s="215">
        <v>34</v>
      </c>
      <c r="D58" s="215">
        <v>22924.134928886011</v>
      </c>
      <c r="F58" s="215">
        <v>726.8650711139893</v>
      </c>
      <c r="H58" s="215">
        <v>23651</v>
      </c>
      <c r="AA58" s="215" t="e">
        <f ca="1">Ануїтетна_графік_Авто!G59</f>
        <v>#VALUE!</v>
      </c>
      <c r="AB58" s="215">
        <f t="shared" si="2"/>
        <v>55</v>
      </c>
      <c r="AD58" s="215" t="e">
        <f ca="1">Ануїтетна_графік_Авто!J59</f>
        <v>#VALUE!</v>
      </c>
      <c r="AF58" s="215" t="e">
        <f ca="1">Ануїтетна_графік_Авто!K59</f>
        <v>#VALUE!</v>
      </c>
      <c r="AH58" s="215" t="e">
        <f ca="1">Ануїтетна_графік_Авто!M59</f>
        <v>#VALUE!</v>
      </c>
      <c r="AJ58" s="215">
        <f t="shared" ca="1" si="0"/>
        <v>47817</v>
      </c>
      <c r="AK58" s="215">
        <v>55</v>
      </c>
      <c r="AM58" s="215" t="e">
        <f ca="1">Ануїтетна_графік_Авто!J59</f>
        <v>#VALUE!</v>
      </c>
      <c r="AO58" s="215" t="e">
        <f ca="1">Ануїтетна_графік_Авто!K59</f>
        <v>#VALUE!</v>
      </c>
      <c r="AQ58" s="215" t="e">
        <f ca="1">Ануїтетна_графік_Авто!M59</f>
        <v>#VALUE!</v>
      </c>
      <c r="AS58" s="215" t="e">
        <f t="shared" ca="1" si="1"/>
        <v>#VALUE!</v>
      </c>
    </row>
    <row r="59" spans="2:45" x14ac:dyDescent="0.25">
      <c r="B59" s="215">
        <v>35</v>
      </c>
      <c r="D59" s="215">
        <v>23130.431855917308</v>
      </c>
      <c r="F59" s="215">
        <v>520.56814408269349</v>
      </c>
      <c r="H59" s="215">
        <v>23651</v>
      </c>
      <c r="AA59" s="215" t="e">
        <f ca="1">Ануїтетна_графік_Авто!G60</f>
        <v>#VALUE!</v>
      </c>
      <c r="AB59" s="215">
        <f t="shared" si="2"/>
        <v>56</v>
      </c>
      <c r="AD59" s="215" t="e">
        <f ca="1">Ануїтетна_графік_Авто!J60</f>
        <v>#VALUE!</v>
      </c>
      <c r="AF59" s="215" t="e">
        <f ca="1">Ануїтетна_графік_Авто!K60</f>
        <v>#VALUE!</v>
      </c>
      <c r="AH59" s="215" t="e">
        <f ca="1">Ануїтетна_графік_Авто!M60</f>
        <v>#VALUE!</v>
      </c>
      <c r="AJ59" s="215">
        <f t="shared" ca="1" si="0"/>
        <v>47848</v>
      </c>
      <c r="AK59" s="215">
        <v>56</v>
      </c>
      <c r="AM59" s="215" t="e">
        <f ca="1">Ануїтетна_графік_Авто!J60</f>
        <v>#VALUE!</v>
      </c>
      <c r="AO59" s="215" t="e">
        <f ca="1">Ануїтетна_графік_Авто!K60</f>
        <v>#VALUE!</v>
      </c>
      <c r="AQ59" s="215" t="e">
        <f ca="1">Ануїтетна_графік_Авто!M60</f>
        <v>#VALUE!</v>
      </c>
      <c r="AS59" s="215" t="e">
        <f t="shared" ca="1" si="1"/>
        <v>#VALUE!</v>
      </c>
    </row>
    <row r="60" spans="2:45" x14ac:dyDescent="0.25">
      <c r="B60" s="215">
        <v>36</v>
      </c>
      <c r="D60" s="215">
        <v>23407.731959863977</v>
      </c>
      <c r="F60" s="215">
        <v>244.94240851667661</v>
      </c>
      <c r="H60" s="215">
        <v>23652.674368380653</v>
      </c>
      <c r="AA60" s="215" t="e">
        <f ca="1">Ануїтетна_графік_Авто!G61</f>
        <v>#VALUE!</v>
      </c>
      <c r="AB60" s="215">
        <f t="shared" si="2"/>
        <v>57</v>
      </c>
      <c r="AD60" s="215" t="e">
        <f ca="1">Ануїтетна_графік_Авто!J61</f>
        <v>#VALUE!</v>
      </c>
      <c r="AF60" s="215" t="e">
        <f ca="1">Ануїтетна_графік_Авто!K61</f>
        <v>#VALUE!</v>
      </c>
      <c r="AH60" s="215" t="e">
        <f ca="1">Ануїтетна_графік_Авто!M61</f>
        <v>#VALUE!</v>
      </c>
      <c r="AJ60" s="215">
        <f t="shared" ca="1" si="0"/>
        <v>47879</v>
      </c>
      <c r="AK60" s="215">
        <v>57</v>
      </c>
      <c r="AM60" s="215" t="e">
        <f ca="1">Ануїтетна_графік_Авто!J61</f>
        <v>#VALUE!</v>
      </c>
      <c r="AO60" s="215" t="e">
        <f ca="1">Ануїтетна_графік_Авто!K61</f>
        <v>#VALUE!</v>
      </c>
      <c r="AQ60" s="215" t="e">
        <f ca="1">Ануїтетна_графік_Авто!M61</f>
        <v>#VALUE!</v>
      </c>
      <c r="AS60" s="215" t="e">
        <f t="shared" ca="1" si="1"/>
        <v>#VALUE!</v>
      </c>
    </row>
    <row r="61" spans="2:45" x14ac:dyDescent="0.25">
      <c r="B61" s="215" t="s">
        <v>282</v>
      </c>
      <c r="D61" s="215">
        <v>700000</v>
      </c>
      <c r="F61" s="215">
        <v>151437.67000000001</v>
      </c>
      <c r="H61" s="215">
        <v>851437.67</v>
      </c>
      <c r="AA61" s="215" t="e">
        <f ca="1">Ануїтетна_графік_Авто!G62</f>
        <v>#VALUE!</v>
      </c>
      <c r="AB61" s="215">
        <f t="shared" si="2"/>
        <v>58</v>
      </c>
      <c r="AD61" s="215" t="e">
        <f ca="1">Ануїтетна_графік_Авто!J62</f>
        <v>#VALUE!</v>
      </c>
      <c r="AF61" s="215" t="e">
        <f ca="1">Ануїтетна_графік_Авто!K62</f>
        <v>#VALUE!</v>
      </c>
      <c r="AH61" s="215" t="e">
        <f ca="1">Ануїтетна_графік_Авто!M62</f>
        <v>#VALUE!</v>
      </c>
      <c r="AJ61" s="215">
        <f t="shared" ca="1" si="0"/>
        <v>47907</v>
      </c>
      <c r="AK61" s="215">
        <v>58</v>
      </c>
      <c r="AM61" s="215" t="e">
        <f ca="1">Ануїтетна_графік_Авто!J62</f>
        <v>#VALUE!</v>
      </c>
      <c r="AO61" s="215" t="e">
        <f ca="1">Ануїтетна_графік_Авто!K62</f>
        <v>#VALUE!</v>
      </c>
      <c r="AQ61" s="215" t="e">
        <f ca="1">Ануїтетна_графік_Авто!M62</f>
        <v>#VALUE!</v>
      </c>
      <c r="AS61" s="215" t="e">
        <f t="shared" ca="1" si="1"/>
        <v>#VALUE!</v>
      </c>
    </row>
    <row r="62" spans="2:45" x14ac:dyDescent="0.25">
      <c r="AA62" s="215" t="e">
        <f ca="1">Ануїтетна_графік_Авто!G63</f>
        <v>#VALUE!</v>
      </c>
      <c r="AB62" s="215">
        <f t="shared" si="2"/>
        <v>59</v>
      </c>
      <c r="AD62" s="215" t="e">
        <f ca="1">Ануїтетна_графік_Авто!J63</f>
        <v>#VALUE!</v>
      </c>
      <c r="AF62" s="215" t="e">
        <f ca="1">Ануїтетна_графік_Авто!K63</f>
        <v>#VALUE!</v>
      </c>
      <c r="AH62" s="215" t="e">
        <f ca="1">Ануїтетна_графік_Авто!M63</f>
        <v>#VALUE!</v>
      </c>
      <c r="AJ62" s="215">
        <f t="shared" ca="1" si="0"/>
        <v>47938</v>
      </c>
      <c r="AK62" s="215">
        <v>59</v>
      </c>
      <c r="AM62" s="215" t="e">
        <f ca="1">Ануїтетна_графік_Авто!J63</f>
        <v>#VALUE!</v>
      </c>
      <c r="AO62" s="215" t="e">
        <f ca="1">Ануїтетна_графік_Авто!K63</f>
        <v>#VALUE!</v>
      </c>
      <c r="AQ62" s="215" t="e">
        <f ca="1">Ануїтетна_графік_Авто!M63</f>
        <v>#VALUE!</v>
      </c>
      <c r="AS62" s="215" t="e">
        <f t="shared" ca="1" si="1"/>
        <v>#VALUE!</v>
      </c>
    </row>
    <row r="63" spans="2:45" x14ac:dyDescent="0.25">
      <c r="AA63" s="215" t="e">
        <f ca="1">Ануїтетна_графік_Авто!G64</f>
        <v>#VALUE!</v>
      </c>
      <c r="AB63" s="215">
        <f t="shared" si="2"/>
        <v>60</v>
      </c>
      <c r="AD63" s="215" t="e">
        <f ca="1">Ануїтетна_графік_Авто!J64</f>
        <v>#VALUE!</v>
      </c>
      <c r="AF63" s="215" t="e">
        <f ca="1">Ануїтетна_графік_Авто!K64</f>
        <v>#VALUE!</v>
      </c>
      <c r="AH63" s="215" t="e">
        <f ca="1">Ануїтетна_графік_Авто!M64</f>
        <v>#VALUE!</v>
      </c>
      <c r="AJ63" s="215">
        <f t="shared" ca="1" si="0"/>
        <v>47968</v>
      </c>
      <c r="AK63" s="215">
        <v>60</v>
      </c>
      <c r="AM63" s="215" t="e">
        <f ca="1">Ануїтетна_графік_Авто!J64</f>
        <v>#VALUE!</v>
      </c>
      <c r="AO63" s="215" t="e">
        <f ca="1">Ануїтетна_графік_Авто!K64</f>
        <v>#VALUE!</v>
      </c>
      <c r="AQ63" s="215" t="e">
        <f ca="1">Ануїтетна_графік_Авто!M64</f>
        <v>#VALUE!</v>
      </c>
      <c r="AS63" s="215" t="e">
        <f t="shared" ca="1" si="1"/>
        <v>#VALUE!</v>
      </c>
    </row>
    <row r="64" spans="2:45" x14ac:dyDescent="0.25">
      <c r="AA64" s="215" t="e">
        <f ca="1">Ануїтетна_графік_Авто!G65</f>
        <v>#VALUE!</v>
      </c>
      <c r="AB64" s="215">
        <f t="shared" si="2"/>
        <v>61</v>
      </c>
      <c r="AD64" s="215" t="e">
        <f ca="1">Ануїтетна_графік_Авто!J65</f>
        <v>#VALUE!</v>
      </c>
      <c r="AF64" s="215" t="e">
        <f ca="1">Ануїтетна_графік_Авто!K65</f>
        <v>#VALUE!</v>
      </c>
      <c r="AH64" s="215" t="e">
        <f ca="1">Ануїтетна_графік_Авто!M65</f>
        <v>#VALUE!</v>
      </c>
      <c r="AJ64" s="215">
        <f t="shared" ca="1" si="0"/>
        <v>47999</v>
      </c>
      <c r="AK64" s="215">
        <v>61</v>
      </c>
      <c r="AM64" s="215" t="e">
        <f ca="1">Ануїтетна_графік_Авто!J65</f>
        <v>#VALUE!</v>
      </c>
      <c r="AO64" s="215" t="e">
        <f ca="1">Ануїтетна_графік_Авто!K65</f>
        <v>#VALUE!</v>
      </c>
      <c r="AQ64" s="215" t="e">
        <f ca="1">Ануїтетна_графік_Авто!M65</f>
        <v>#VALUE!</v>
      </c>
      <c r="AS64" s="215" t="e">
        <f t="shared" ca="1" si="1"/>
        <v>#VALUE!</v>
      </c>
    </row>
    <row r="65" spans="27:45" x14ac:dyDescent="0.25">
      <c r="AA65" s="215" t="e">
        <f ca="1">Ануїтетна_графік_Авто!G66</f>
        <v>#VALUE!</v>
      </c>
      <c r="AB65" s="215">
        <f t="shared" si="2"/>
        <v>62</v>
      </c>
      <c r="AD65" s="215" t="e">
        <f ca="1">Ануїтетна_графік_Авто!J66</f>
        <v>#VALUE!</v>
      </c>
      <c r="AF65" s="215" t="e">
        <f ca="1">Ануїтетна_графік_Авто!K66</f>
        <v>#VALUE!</v>
      </c>
      <c r="AH65" s="215" t="e">
        <f ca="1">Ануїтетна_графік_Авто!M66</f>
        <v>#VALUE!</v>
      </c>
      <c r="AJ65" s="215">
        <f t="shared" ca="1" si="0"/>
        <v>48029</v>
      </c>
      <c r="AK65" s="215">
        <v>62</v>
      </c>
      <c r="AM65" s="215" t="e">
        <f ca="1">Ануїтетна_графік_Авто!J66</f>
        <v>#VALUE!</v>
      </c>
      <c r="AO65" s="215" t="e">
        <f ca="1">Ануїтетна_графік_Авто!K66</f>
        <v>#VALUE!</v>
      </c>
      <c r="AQ65" s="215" t="e">
        <f ca="1">Ануїтетна_графік_Авто!M66</f>
        <v>#VALUE!</v>
      </c>
      <c r="AS65" s="215" t="e">
        <f t="shared" ca="1" si="1"/>
        <v>#VALUE!</v>
      </c>
    </row>
    <row r="66" spans="27:45" x14ac:dyDescent="0.25">
      <c r="AA66" s="215" t="e">
        <f ca="1">Ануїтетна_графік_Авто!G67</f>
        <v>#VALUE!</v>
      </c>
      <c r="AB66" s="215">
        <f t="shared" si="2"/>
        <v>63</v>
      </c>
      <c r="AD66" s="215" t="e">
        <f ca="1">Ануїтетна_графік_Авто!J67</f>
        <v>#VALUE!</v>
      </c>
      <c r="AF66" s="215" t="e">
        <f ca="1">Ануїтетна_графік_Авто!K67</f>
        <v>#VALUE!</v>
      </c>
      <c r="AH66" s="215" t="e">
        <f ca="1">Ануїтетна_графік_Авто!M67</f>
        <v>#VALUE!</v>
      </c>
      <c r="AJ66" s="215">
        <f t="shared" ca="1" si="0"/>
        <v>48060</v>
      </c>
      <c r="AK66" s="215">
        <v>63</v>
      </c>
      <c r="AM66" s="215" t="e">
        <f ca="1">Ануїтетна_графік_Авто!J67</f>
        <v>#VALUE!</v>
      </c>
      <c r="AO66" s="215" t="e">
        <f ca="1">Ануїтетна_графік_Авто!K67</f>
        <v>#VALUE!</v>
      </c>
      <c r="AQ66" s="215" t="e">
        <f ca="1">Ануїтетна_графік_Авто!M67</f>
        <v>#VALUE!</v>
      </c>
      <c r="AS66" s="215" t="e">
        <f t="shared" ca="1" si="1"/>
        <v>#VALUE!</v>
      </c>
    </row>
    <row r="67" spans="27:45" x14ac:dyDescent="0.25">
      <c r="AA67" s="215" t="e">
        <f ca="1">Ануїтетна_графік_Авто!G68</f>
        <v>#VALUE!</v>
      </c>
      <c r="AB67" s="215">
        <f t="shared" si="2"/>
        <v>64</v>
      </c>
      <c r="AD67" s="215" t="e">
        <f ca="1">Ануїтетна_графік_Авто!J68</f>
        <v>#VALUE!</v>
      </c>
      <c r="AF67" s="215" t="e">
        <f ca="1">Ануїтетна_графік_Авто!K68</f>
        <v>#VALUE!</v>
      </c>
      <c r="AH67" s="215" t="e">
        <f ca="1">Ануїтетна_графік_Авто!M68</f>
        <v>#VALUE!</v>
      </c>
      <c r="AJ67" s="215">
        <f t="shared" ca="1" si="0"/>
        <v>48091</v>
      </c>
      <c r="AK67" s="215">
        <v>64</v>
      </c>
      <c r="AM67" s="215" t="e">
        <f ca="1">Ануїтетна_графік_Авто!J68</f>
        <v>#VALUE!</v>
      </c>
      <c r="AO67" s="215" t="e">
        <f ca="1">Ануїтетна_графік_Авто!K68</f>
        <v>#VALUE!</v>
      </c>
      <c r="AQ67" s="215" t="e">
        <f ca="1">Ануїтетна_графік_Авто!M68</f>
        <v>#VALUE!</v>
      </c>
      <c r="AS67" s="215" t="e">
        <f t="shared" ca="1" si="1"/>
        <v>#VALUE!</v>
      </c>
    </row>
    <row r="68" spans="27:45" x14ac:dyDescent="0.25">
      <c r="AA68" s="215" t="e">
        <f ca="1">Ануїтетна_графік_Авто!G69</f>
        <v>#VALUE!</v>
      </c>
      <c r="AB68" s="215">
        <f t="shared" si="2"/>
        <v>65</v>
      </c>
      <c r="AD68" s="215" t="e">
        <f ca="1">Ануїтетна_графік_Авто!J69</f>
        <v>#VALUE!</v>
      </c>
      <c r="AF68" s="215" t="e">
        <f ca="1">Ануїтетна_графік_Авто!K69</f>
        <v>#VALUE!</v>
      </c>
      <c r="AH68" s="215" t="e">
        <f ca="1">Ануїтетна_графік_Авто!M69</f>
        <v>#VALUE!</v>
      </c>
      <c r="AJ68" s="215">
        <f t="shared" ca="1" si="0"/>
        <v>48121</v>
      </c>
      <c r="AK68" s="215">
        <v>65</v>
      </c>
      <c r="AM68" s="215" t="e">
        <f ca="1">Ануїтетна_графік_Авто!J69</f>
        <v>#VALUE!</v>
      </c>
      <c r="AO68" s="215" t="e">
        <f ca="1">Ануїтетна_графік_Авто!K69</f>
        <v>#VALUE!</v>
      </c>
      <c r="AQ68" s="215" t="e">
        <f ca="1">Ануїтетна_графік_Авто!M69</f>
        <v>#VALUE!</v>
      </c>
      <c r="AS68" s="215" t="e">
        <f t="shared" ca="1" si="1"/>
        <v>#VALUE!</v>
      </c>
    </row>
    <row r="69" spans="27:45" x14ac:dyDescent="0.25">
      <c r="AA69" s="215" t="e">
        <f ca="1">Ануїтетна_графік_Авто!G70</f>
        <v>#VALUE!</v>
      </c>
      <c r="AB69" s="215">
        <f t="shared" si="2"/>
        <v>66</v>
      </c>
      <c r="AD69" s="215" t="e">
        <f ca="1">Ануїтетна_графік_Авто!J70</f>
        <v>#VALUE!</v>
      </c>
      <c r="AF69" s="215" t="e">
        <f ca="1">Ануїтетна_графік_Авто!K70</f>
        <v>#VALUE!</v>
      </c>
      <c r="AH69" s="215" t="e">
        <f ca="1">Ануїтетна_графік_Авто!M70</f>
        <v>#VALUE!</v>
      </c>
      <c r="AJ69" s="215">
        <f t="shared" ref="AJ69:AJ89" ca="1" si="3">IF(AK69="","",DATE(YEAR(AJ68),MONTH(AJ68)+2,DAY(1)-1))</f>
        <v>48152</v>
      </c>
      <c r="AK69" s="215">
        <v>66</v>
      </c>
      <c r="AM69" s="215" t="e">
        <f ca="1">Ануїтетна_графік_Авто!J70</f>
        <v>#VALUE!</v>
      </c>
      <c r="AO69" s="215" t="e">
        <f ca="1">Ануїтетна_графік_Авто!K70</f>
        <v>#VALUE!</v>
      </c>
      <c r="AQ69" s="215" t="e">
        <f ca="1">Ануїтетна_графік_Авто!M70</f>
        <v>#VALUE!</v>
      </c>
      <c r="AS69" s="215" t="e">
        <f t="shared" ca="1" si="1"/>
        <v>#VALUE!</v>
      </c>
    </row>
    <row r="70" spans="27:45" x14ac:dyDescent="0.25">
      <c r="AA70" s="215" t="e">
        <f ca="1">Ануїтетна_графік_Авто!G71</f>
        <v>#VALUE!</v>
      </c>
      <c r="AB70" s="215">
        <f t="shared" si="2"/>
        <v>67</v>
      </c>
      <c r="AD70" s="215" t="e">
        <f ca="1">Ануїтетна_графік_Авто!J71</f>
        <v>#VALUE!</v>
      </c>
      <c r="AF70" s="215" t="e">
        <f ca="1">Ануїтетна_графік_Авто!K71</f>
        <v>#VALUE!</v>
      </c>
      <c r="AH70" s="215" t="e">
        <f ca="1">Ануїтетна_графік_Авто!M71</f>
        <v>#VALUE!</v>
      </c>
      <c r="AJ70" s="215">
        <f t="shared" ca="1" si="3"/>
        <v>48182</v>
      </c>
      <c r="AK70" s="215">
        <v>67</v>
      </c>
      <c r="AM70" s="215" t="e">
        <f ca="1">Ануїтетна_графік_Авто!J71</f>
        <v>#VALUE!</v>
      </c>
      <c r="AO70" s="215" t="e">
        <f ca="1">Ануїтетна_графік_Авто!K71</f>
        <v>#VALUE!</v>
      </c>
      <c r="AQ70" s="215" t="e">
        <f ca="1">Ануїтетна_графік_Авто!M71</f>
        <v>#VALUE!</v>
      </c>
      <c r="AS70" s="215" t="e">
        <f t="shared" ref="AS70:AS89" ca="1" si="4">AS69-AM69</f>
        <v>#VALUE!</v>
      </c>
    </row>
    <row r="71" spans="27:45" x14ac:dyDescent="0.25">
      <c r="AA71" s="215" t="e">
        <f ca="1">Ануїтетна_графік_Авто!G72</f>
        <v>#VALUE!</v>
      </c>
      <c r="AB71" s="215">
        <f t="shared" si="2"/>
        <v>68</v>
      </c>
      <c r="AD71" s="215" t="e">
        <f ca="1">Ануїтетна_графік_Авто!J72</f>
        <v>#VALUE!</v>
      </c>
      <c r="AF71" s="215" t="e">
        <f ca="1">Ануїтетна_графік_Авто!K72</f>
        <v>#VALUE!</v>
      </c>
      <c r="AH71" s="215" t="e">
        <f ca="1">Ануїтетна_графік_Авто!M72</f>
        <v>#VALUE!</v>
      </c>
      <c r="AJ71" s="215">
        <f t="shared" ca="1" si="3"/>
        <v>48213</v>
      </c>
      <c r="AK71" s="215">
        <v>68</v>
      </c>
      <c r="AM71" s="215" t="e">
        <f ca="1">Ануїтетна_графік_Авто!J72</f>
        <v>#VALUE!</v>
      </c>
      <c r="AO71" s="215" t="e">
        <f ca="1">Ануїтетна_графік_Авто!K72</f>
        <v>#VALUE!</v>
      </c>
      <c r="AQ71" s="215" t="e">
        <f ca="1">Ануїтетна_графік_Авто!M72</f>
        <v>#VALUE!</v>
      </c>
      <c r="AS71" s="215" t="e">
        <f t="shared" ca="1" si="4"/>
        <v>#VALUE!</v>
      </c>
    </row>
    <row r="72" spans="27:45" x14ac:dyDescent="0.25">
      <c r="AA72" s="215" t="e">
        <f ca="1">Ануїтетна_графік_Авто!G73</f>
        <v>#VALUE!</v>
      </c>
      <c r="AB72" s="215">
        <f t="shared" si="2"/>
        <v>69</v>
      </c>
      <c r="AD72" s="215" t="e">
        <f ca="1">Ануїтетна_графік_Авто!J73</f>
        <v>#VALUE!</v>
      </c>
      <c r="AF72" s="215" t="e">
        <f ca="1">Ануїтетна_графік_Авто!K73</f>
        <v>#VALUE!</v>
      </c>
      <c r="AH72" s="215" t="e">
        <f ca="1">Ануїтетна_графік_Авто!M73</f>
        <v>#VALUE!</v>
      </c>
      <c r="AJ72" s="215">
        <f t="shared" ca="1" si="3"/>
        <v>48244</v>
      </c>
      <c r="AK72" s="215">
        <v>69</v>
      </c>
      <c r="AM72" s="215" t="e">
        <f ca="1">Ануїтетна_графік_Авто!J73</f>
        <v>#VALUE!</v>
      </c>
      <c r="AO72" s="215" t="e">
        <f ca="1">Ануїтетна_графік_Авто!K73</f>
        <v>#VALUE!</v>
      </c>
      <c r="AQ72" s="215" t="e">
        <f ca="1">Ануїтетна_графік_Авто!M73</f>
        <v>#VALUE!</v>
      </c>
      <c r="AS72" s="215" t="e">
        <f t="shared" ca="1" si="4"/>
        <v>#VALUE!</v>
      </c>
    </row>
    <row r="73" spans="27:45" x14ac:dyDescent="0.25">
      <c r="AA73" s="215" t="e">
        <f ca="1">Ануїтетна_графік_Авто!G74</f>
        <v>#VALUE!</v>
      </c>
      <c r="AB73" s="215">
        <f t="shared" si="2"/>
        <v>70</v>
      </c>
      <c r="AD73" s="215" t="e">
        <f ca="1">Ануїтетна_графік_Авто!J74</f>
        <v>#VALUE!</v>
      </c>
      <c r="AF73" s="215" t="e">
        <f ca="1">Ануїтетна_графік_Авто!K74</f>
        <v>#VALUE!</v>
      </c>
      <c r="AH73" s="215" t="e">
        <f ca="1">Ануїтетна_графік_Авто!M74</f>
        <v>#VALUE!</v>
      </c>
      <c r="AJ73" s="215">
        <f t="shared" ca="1" si="3"/>
        <v>48273</v>
      </c>
      <c r="AK73" s="215">
        <v>70</v>
      </c>
      <c r="AM73" s="215" t="e">
        <f ca="1">Ануїтетна_графік_Авто!J74</f>
        <v>#VALUE!</v>
      </c>
      <c r="AO73" s="215" t="e">
        <f ca="1">Ануїтетна_графік_Авто!K74</f>
        <v>#VALUE!</v>
      </c>
      <c r="AQ73" s="215" t="e">
        <f ca="1">Ануїтетна_графік_Авто!M74</f>
        <v>#VALUE!</v>
      </c>
      <c r="AS73" s="215" t="e">
        <f t="shared" ca="1" si="4"/>
        <v>#VALUE!</v>
      </c>
    </row>
    <row r="74" spans="27:45" x14ac:dyDescent="0.25">
      <c r="AA74" s="215" t="e">
        <f ca="1">Ануїтетна_графік_Авто!G75</f>
        <v>#VALUE!</v>
      </c>
      <c r="AB74" s="215">
        <f t="shared" si="2"/>
        <v>71</v>
      </c>
      <c r="AD74" s="215" t="e">
        <f ca="1">Ануїтетна_графік_Авто!J75</f>
        <v>#VALUE!</v>
      </c>
      <c r="AF74" s="215" t="e">
        <f ca="1">Ануїтетна_графік_Авто!K75</f>
        <v>#VALUE!</v>
      </c>
      <c r="AH74" s="215" t="e">
        <f ca="1">Ануїтетна_графік_Авто!M75</f>
        <v>#VALUE!</v>
      </c>
      <c r="AJ74" s="215">
        <f t="shared" ca="1" si="3"/>
        <v>48304</v>
      </c>
      <c r="AK74" s="215">
        <v>71</v>
      </c>
      <c r="AM74" s="215" t="e">
        <f ca="1">Ануїтетна_графік_Авто!J75</f>
        <v>#VALUE!</v>
      </c>
      <c r="AO74" s="215" t="e">
        <f ca="1">Ануїтетна_графік_Авто!K75</f>
        <v>#VALUE!</v>
      </c>
      <c r="AQ74" s="215" t="e">
        <f ca="1">Ануїтетна_графік_Авто!M75</f>
        <v>#VALUE!</v>
      </c>
      <c r="AS74" s="215" t="e">
        <f t="shared" ca="1" si="4"/>
        <v>#VALUE!</v>
      </c>
    </row>
    <row r="75" spans="27:45" x14ac:dyDescent="0.25">
      <c r="AA75" s="215" t="e">
        <f ca="1">Ануїтетна_графік_Авто!G76</f>
        <v>#VALUE!</v>
      </c>
      <c r="AB75" s="215">
        <f t="shared" si="2"/>
        <v>72</v>
      </c>
      <c r="AD75" s="215" t="e">
        <f ca="1">Ануїтетна_графік_Авто!J76</f>
        <v>#VALUE!</v>
      </c>
      <c r="AF75" s="215" t="e">
        <f ca="1">Ануїтетна_графік_Авто!K76</f>
        <v>#VALUE!</v>
      </c>
      <c r="AH75" s="215" t="e">
        <f ca="1">Ануїтетна_графік_Авто!M76</f>
        <v>#VALUE!</v>
      </c>
      <c r="AJ75" s="215">
        <f t="shared" ca="1" si="3"/>
        <v>48334</v>
      </c>
      <c r="AK75" s="215">
        <v>72</v>
      </c>
      <c r="AM75" s="215" t="e">
        <f ca="1">Ануїтетна_графік_Авто!J76</f>
        <v>#VALUE!</v>
      </c>
      <c r="AO75" s="215" t="e">
        <f ca="1">Ануїтетна_графік_Авто!K76</f>
        <v>#VALUE!</v>
      </c>
      <c r="AQ75" s="215" t="e">
        <f ca="1">Ануїтетна_графік_Авто!M76</f>
        <v>#VALUE!</v>
      </c>
      <c r="AS75" s="215" t="e">
        <f t="shared" ca="1" si="4"/>
        <v>#VALUE!</v>
      </c>
    </row>
    <row r="76" spans="27:45" x14ac:dyDescent="0.25">
      <c r="AA76" s="215" t="e">
        <f ca="1">Ануїтетна_графік_Авто!G77</f>
        <v>#VALUE!</v>
      </c>
      <c r="AB76" s="215">
        <f t="shared" si="2"/>
        <v>73</v>
      </c>
      <c r="AD76" s="215" t="e">
        <f ca="1">Ануїтетна_графік_Авто!J77</f>
        <v>#VALUE!</v>
      </c>
      <c r="AF76" s="215" t="e">
        <f ca="1">Ануїтетна_графік_Авто!K77</f>
        <v>#VALUE!</v>
      </c>
      <c r="AH76" s="215" t="e">
        <f ca="1">Ануїтетна_графік_Авто!M77</f>
        <v>#VALUE!</v>
      </c>
      <c r="AJ76" s="215">
        <f t="shared" ca="1" si="3"/>
        <v>48365</v>
      </c>
      <c r="AK76" s="215">
        <v>73</v>
      </c>
      <c r="AM76" s="215" t="e">
        <f ca="1">Ануїтетна_графік_Авто!J77</f>
        <v>#VALUE!</v>
      </c>
      <c r="AO76" s="215" t="e">
        <f ca="1">Ануїтетна_графік_Авто!K77</f>
        <v>#VALUE!</v>
      </c>
      <c r="AQ76" s="215" t="e">
        <f ca="1">Ануїтетна_графік_Авто!M77</f>
        <v>#VALUE!</v>
      </c>
      <c r="AS76" s="215" t="e">
        <f t="shared" ca="1" si="4"/>
        <v>#VALUE!</v>
      </c>
    </row>
    <row r="77" spans="27:45" x14ac:dyDescent="0.25">
      <c r="AA77" s="215" t="e">
        <f ca="1">Ануїтетна_графік_Авто!G78</f>
        <v>#VALUE!</v>
      </c>
      <c r="AB77" s="215">
        <f t="shared" si="2"/>
        <v>74</v>
      </c>
      <c r="AD77" s="215" t="e">
        <f ca="1">Ануїтетна_графік_Авто!J78</f>
        <v>#VALUE!</v>
      </c>
      <c r="AF77" s="215" t="e">
        <f ca="1">Ануїтетна_графік_Авто!K78</f>
        <v>#VALUE!</v>
      </c>
      <c r="AH77" s="215" t="e">
        <f ca="1">Ануїтетна_графік_Авто!M78</f>
        <v>#VALUE!</v>
      </c>
      <c r="AJ77" s="215">
        <f t="shared" ca="1" si="3"/>
        <v>48395</v>
      </c>
      <c r="AK77" s="215">
        <v>74</v>
      </c>
      <c r="AM77" s="215" t="e">
        <f ca="1">Ануїтетна_графік_Авто!J78</f>
        <v>#VALUE!</v>
      </c>
      <c r="AO77" s="215" t="e">
        <f ca="1">Ануїтетна_графік_Авто!K78</f>
        <v>#VALUE!</v>
      </c>
      <c r="AQ77" s="215" t="e">
        <f ca="1">Ануїтетна_графік_Авто!M78</f>
        <v>#VALUE!</v>
      </c>
      <c r="AS77" s="215" t="e">
        <f t="shared" ca="1" si="4"/>
        <v>#VALUE!</v>
      </c>
    </row>
    <row r="78" spans="27:45" x14ac:dyDescent="0.25">
      <c r="AA78" s="215" t="e">
        <f ca="1">Ануїтетна_графік_Авто!G79</f>
        <v>#VALUE!</v>
      </c>
      <c r="AB78" s="215">
        <f t="shared" si="2"/>
        <v>75</v>
      </c>
      <c r="AD78" s="215" t="e">
        <f ca="1">Ануїтетна_графік_Авто!J79</f>
        <v>#VALUE!</v>
      </c>
      <c r="AF78" s="215" t="e">
        <f ca="1">Ануїтетна_графік_Авто!K79</f>
        <v>#VALUE!</v>
      </c>
      <c r="AH78" s="215" t="e">
        <f ca="1">Ануїтетна_графік_Авто!M79</f>
        <v>#VALUE!</v>
      </c>
      <c r="AJ78" s="215">
        <f t="shared" ca="1" si="3"/>
        <v>48426</v>
      </c>
      <c r="AK78" s="215">
        <v>75</v>
      </c>
      <c r="AM78" s="215" t="e">
        <f ca="1">Ануїтетна_графік_Авто!J79</f>
        <v>#VALUE!</v>
      </c>
      <c r="AO78" s="215" t="e">
        <f ca="1">Ануїтетна_графік_Авто!K79</f>
        <v>#VALUE!</v>
      </c>
      <c r="AQ78" s="215" t="e">
        <f ca="1">Ануїтетна_графік_Авто!M79</f>
        <v>#VALUE!</v>
      </c>
      <c r="AS78" s="215" t="e">
        <f t="shared" ca="1" si="4"/>
        <v>#VALUE!</v>
      </c>
    </row>
    <row r="79" spans="27:45" x14ac:dyDescent="0.25">
      <c r="AA79" s="215" t="e">
        <f ca="1">Ануїтетна_графік_Авто!G80</f>
        <v>#VALUE!</v>
      </c>
      <c r="AB79" s="215">
        <f>AB78+1</f>
        <v>76</v>
      </c>
      <c r="AD79" s="215" t="e">
        <f ca="1">Ануїтетна_графік_Авто!J80</f>
        <v>#VALUE!</v>
      </c>
      <c r="AF79" s="215" t="e">
        <f ca="1">Ануїтетна_графік_Авто!K80</f>
        <v>#VALUE!</v>
      </c>
      <c r="AH79" s="215" t="e">
        <f ca="1">Ануїтетна_графік_Авто!M80</f>
        <v>#VALUE!</v>
      </c>
      <c r="AJ79" s="215">
        <f t="shared" ca="1" si="3"/>
        <v>48457</v>
      </c>
      <c r="AK79" s="215">
        <v>76</v>
      </c>
      <c r="AM79" s="215" t="e">
        <f ca="1">Ануїтетна_графік_Авто!J80</f>
        <v>#VALUE!</v>
      </c>
      <c r="AO79" s="215" t="e">
        <f ca="1">Ануїтетна_графік_Авто!K80</f>
        <v>#VALUE!</v>
      </c>
      <c r="AQ79" s="215" t="e">
        <f ca="1">Ануїтетна_графік_Авто!M80</f>
        <v>#VALUE!</v>
      </c>
      <c r="AS79" s="215" t="e">
        <f t="shared" ca="1" si="4"/>
        <v>#VALUE!</v>
      </c>
    </row>
    <row r="80" spans="27:45" x14ac:dyDescent="0.25">
      <c r="AA80" s="215" t="e">
        <f ca="1">Ануїтетна_графік_Авто!G81</f>
        <v>#VALUE!</v>
      </c>
      <c r="AB80" s="215">
        <f t="shared" ref="AB80:AB88" si="5">AB79+1</f>
        <v>77</v>
      </c>
      <c r="AD80" s="215" t="e">
        <f ca="1">Ануїтетна_графік_Авто!J81</f>
        <v>#VALUE!</v>
      </c>
      <c r="AF80" s="215" t="e">
        <f ca="1">Ануїтетна_графік_Авто!K81</f>
        <v>#VALUE!</v>
      </c>
      <c r="AH80" s="215" t="e">
        <f ca="1">Ануїтетна_графік_Авто!M81</f>
        <v>#VALUE!</v>
      </c>
      <c r="AJ80" s="215">
        <f t="shared" ca="1" si="3"/>
        <v>48487</v>
      </c>
      <c r="AK80" s="215">
        <v>77</v>
      </c>
      <c r="AM80" s="215" t="e">
        <f ca="1">Ануїтетна_графік_Авто!J81</f>
        <v>#VALUE!</v>
      </c>
      <c r="AO80" s="215" t="e">
        <f ca="1">Ануїтетна_графік_Авто!K81</f>
        <v>#VALUE!</v>
      </c>
      <c r="AQ80" s="215" t="e">
        <f ca="1">Ануїтетна_графік_Авто!M81</f>
        <v>#VALUE!</v>
      </c>
      <c r="AS80" s="215" t="e">
        <f t="shared" ca="1" si="4"/>
        <v>#VALUE!</v>
      </c>
    </row>
    <row r="81" spans="27:45" x14ac:dyDescent="0.25">
      <c r="AA81" s="215" t="e">
        <f ca="1">Ануїтетна_графік_Авто!G82</f>
        <v>#VALUE!</v>
      </c>
      <c r="AB81" s="215">
        <f t="shared" si="5"/>
        <v>78</v>
      </c>
      <c r="AD81" s="215" t="e">
        <f ca="1">Ануїтетна_графік_Авто!J82</f>
        <v>#VALUE!</v>
      </c>
      <c r="AF81" s="215" t="e">
        <f ca="1">Ануїтетна_графік_Авто!K82</f>
        <v>#VALUE!</v>
      </c>
      <c r="AH81" s="215" t="e">
        <f ca="1">Ануїтетна_графік_Авто!M82</f>
        <v>#VALUE!</v>
      </c>
      <c r="AJ81" s="215">
        <f t="shared" ca="1" si="3"/>
        <v>48518</v>
      </c>
      <c r="AK81" s="215">
        <v>78</v>
      </c>
      <c r="AM81" s="215" t="e">
        <f ca="1">Ануїтетна_графік_Авто!J82</f>
        <v>#VALUE!</v>
      </c>
      <c r="AO81" s="215" t="e">
        <f ca="1">Ануїтетна_графік_Авто!K82</f>
        <v>#VALUE!</v>
      </c>
      <c r="AQ81" s="215" t="e">
        <f ca="1">Ануїтетна_графік_Авто!M82</f>
        <v>#VALUE!</v>
      </c>
      <c r="AS81" s="215" t="e">
        <f t="shared" ca="1" si="4"/>
        <v>#VALUE!</v>
      </c>
    </row>
    <row r="82" spans="27:45" x14ac:dyDescent="0.25">
      <c r="AA82" s="215" t="e">
        <f ca="1">Ануїтетна_графік_Авто!G83</f>
        <v>#VALUE!</v>
      </c>
      <c r="AB82" s="215">
        <f t="shared" si="5"/>
        <v>79</v>
      </c>
      <c r="AD82" s="215" t="e">
        <f ca="1">Ануїтетна_графік_Авто!J83</f>
        <v>#VALUE!</v>
      </c>
      <c r="AF82" s="215" t="e">
        <f ca="1">Ануїтетна_графік_Авто!K83</f>
        <v>#VALUE!</v>
      </c>
      <c r="AH82" s="215" t="e">
        <f ca="1">Ануїтетна_графік_Авто!M83</f>
        <v>#VALUE!</v>
      </c>
      <c r="AJ82" s="215">
        <f t="shared" ca="1" si="3"/>
        <v>48548</v>
      </c>
      <c r="AK82" s="215">
        <v>79</v>
      </c>
      <c r="AM82" s="215" t="e">
        <f ca="1">Ануїтетна_графік_Авто!J83</f>
        <v>#VALUE!</v>
      </c>
      <c r="AO82" s="215" t="e">
        <f ca="1">Ануїтетна_графік_Авто!K83</f>
        <v>#VALUE!</v>
      </c>
      <c r="AQ82" s="215" t="e">
        <f ca="1">Ануїтетна_графік_Авто!M83</f>
        <v>#VALUE!</v>
      </c>
      <c r="AS82" s="215" t="e">
        <f t="shared" ca="1" si="4"/>
        <v>#VALUE!</v>
      </c>
    </row>
    <row r="83" spans="27:45" x14ac:dyDescent="0.25">
      <c r="AA83" s="215" t="e">
        <f ca="1">Ануїтетна_графік_Авто!G84</f>
        <v>#VALUE!</v>
      </c>
      <c r="AB83" s="215">
        <f t="shared" si="5"/>
        <v>80</v>
      </c>
      <c r="AD83" s="215" t="e">
        <f ca="1">Ануїтетна_графік_Авто!J84</f>
        <v>#VALUE!</v>
      </c>
      <c r="AF83" s="215" t="e">
        <f ca="1">Ануїтетна_графік_Авто!K84</f>
        <v>#VALUE!</v>
      </c>
      <c r="AH83" s="215" t="e">
        <f ca="1">Ануїтетна_графік_Авто!M84</f>
        <v>#VALUE!</v>
      </c>
      <c r="AJ83" s="215">
        <f t="shared" ca="1" si="3"/>
        <v>48579</v>
      </c>
      <c r="AK83" s="215">
        <v>80</v>
      </c>
      <c r="AM83" s="215" t="e">
        <f ca="1">Ануїтетна_графік_Авто!J84</f>
        <v>#VALUE!</v>
      </c>
      <c r="AO83" s="215" t="e">
        <f ca="1">Ануїтетна_графік_Авто!K84</f>
        <v>#VALUE!</v>
      </c>
      <c r="AQ83" s="215" t="e">
        <f ca="1">Ануїтетна_графік_Авто!M84</f>
        <v>#VALUE!</v>
      </c>
      <c r="AS83" s="215" t="e">
        <f t="shared" ca="1" si="4"/>
        <v>#VALUE!</v>
      </c>
    </row>
    <row r="84" spans="27:45" x14ac:dyDescent="0.25">
      <c r="AA84" s="215" t="e">
        <f ca="1">Ануїтетна_графік_Авто!G85</f>
        <v>#VALUE!</v>
      </c>
      <c r="AB84" s="215">
        <f t="shared" si="5"/>
        <v>81</v>
      </c>
      <c r="AD84" s="215" t="e">
        <f ca="1">Ануїтетна_графік_Авто!J85</f>
        <v>#VALUE!</v>
      </c>
      <c r="AF84" s="215" t="e">
        <f ca="1">Ануїтетна_графік_Авто!K85</f>
        <v>#VALUE!</v>
      </c>
      <c r="AH84" s="215" t="e">
        <f ca="1">Ануїтетна_графік_Авто!M85</f>
        <v>#VALUE!</v>
      </c>
      <c r="AJ84" s="215">
        <f t="shared" ca="1" si="3"/>
        <v>48610</v>
      </c>
      <c r="AK84" s="215">
        <v>81</v>
      </c>
      <c r="AM84" s="215" t="e">
        <f ca="1">Ануїтетна_графік_Авто!J85</f>
        <v>#VALUE!</v>
      </c>
      <c r="AO84" s="215" t="e">
        <f ca="1">Ануїтетна_графік_Авто!K85</f>
        <v>#VALUE!</v>
      </c>
      <c r="AQ84" s="215" t="e">
        <f ca="1">Ануїтетна_графік_Авто!M85</f>
        <v>#VALUE!</v>
      </c>
      <c r="AS84" s="215" t="e">
        <f t="shared" ca="1" si="4"/>
        <v>#VALUE!</v>
      </c>
    </row>
    <row r="85" spans="27:45" x14ac:dyDescent="0.25">
      <c r="AA85" s="215" t="e">
        <f ca="1">Ануїтетна_графік_Авто!G86</f>
        <v>#VALUE!</v>
      </c>
      <c r="AB85" s="215">
        <f t="shared" si="5"/>
        <v>82</v>
      </c>
      <c r="AD85" s="215" t="e">
        <f ca="1">Ануїтетна_графік_Авто!J86</f>
        <v>#VALUE!</v>
      </c>
      <c r="AF85" s="215" t="e">
        <f ca="1">Ануїтетна_графік_Авто!K86</f>
        <v>#VALUE!</v>
      </c>
      <c r="AH85" s="215" t="e">
        <f ca="1">Ануїтетна_графік_Авто!M86</f>
        <v>#VALUE!</v>
      </c>
      <c r="AJ85" s="215">
        <f t="shared" ca="1" si="3"/>
        <v>48638</v>
      </c>
      <c r="AK85" s="215">
        <v>82</v>
      </c>
      <c r="AM85" s="215" t="e">
        <f ca="1">Ануїтетна_графік_Авто!J86</f>
        <v>#VALUE!</v>
      </c>
      <c r="AO85" s="215" t="e">
        <f ca="1">Ануїтетна_графік_Авто!K86</f>
        <v>#VALUE!</v>
      </c>
      <c r="AQ85" s="215" t="e">
        <f ca="1">Ануїтетна_графік_Авто!M86</f>
        <v>#VALUE!</v>
      </c>
      <c r="AS85" s="215" t="e">
        <f t="shared" ca="1" si="4"/>
        <v>#VALUE!</v>
      </c>
    </row>
    <row r="86" spans="27:45" x14ac:dyDescent="0.25">
      <c r="AA86" s="215" t="e">
        <f ca="1">Ануїтетна_графік_Авто!G87</f>
        <v>#VALUE!</v>
      </c>
      <c r="AB86" s="215">
        <f t="shared" si="5"/>
        <v>83</v>
      </c>
      <c r="AD86" s="215" t="e">
        <f ca="1">Ануїтетна_графік_Авто!J87</f>
        <v>#VALUE!</v>
      </c>
      <c r="AF86" s="215" t="e">
        <f ca="1">Ануїтетна_графік_Авто!K87</f>
        <v>#VALUE!</v>
      </c>
      <c r="AH86" s="215" t="e">
        <f ca="1">Ануїтетна_графік_Авто!M87</f>
        <v>#VALUE!</v>
      </c>
      <c r="AJ86" s="215">
        <f t="shared" ca="1" si="3"/>
        <v>48669</v>
      </c>
      <c r="AK86" s="215">
        <v>83</v>
      </c>
      <c r="AM86" s="215" t="e">
        <f ca="1">Ануїтетна_графік_Авто!J87</f>
        <v>#VALUE!</v>
      </c>
      <c r="AO86" s="215" t="e">
        <f ca="1">Ануїтетна_графік_Авто!K87</f>
        <v>#VALUE!</v>
      </c>
      <c r="AQ86" s="215" t="e">
        <f ca="1">Ануїтетна_графік_Авто!M87</f>
        <v>#VALUE!</v>
      </c>
      <c r="AS86" s="215" t="e">
        <f t="shared" ca="1" si="4"/>
        <v>#VALUE!</v>
      </c>
    </row>
    <row r="87" spans="27:45" x14ac:dyDescent="0.25">
      <c r="AA87" s="215" t="e">
        <f ca="1">Ануїтетна_графік_Авто!G88</f>
        <v>#VALUE!</v>
      </c>
      <c r="AB87" s="215">
        <f>AB86+1</f>
        <v>84</v>
      </c>
      <c r="AD87" s="215" t="e">
        <f ca="1">Ануїтетна_графік_Авто!J88</f>
        <v>#VALUE!</v>
      </c>
      <c r="AF87" s="215" t="e">
        <f ca="1">Ануїтетна_графік_Авто!K88</f>
        <v>#VALUE!</v>
      </c>
      <c r="AH87" s="215" t="e">
        <f ca="1">Ануїтетна_графік_Авто!M88</f>
        <v>#VALUE!</v>
      </c>
      <c r="AJ87" s="215">
        <f t="shared" ca="1" si="3"/>
        <v>48699</v>
      </c>
      <c r="AK87" s="215">
        <v>84</v>
      </c>
      <c r="AM87" s="215" t="e">
        <f ca="1">Ануїтетна_графік_Авто!J88</f>
        <v>#VALUE!</v>
      </c>
      <c r="AO87" s="215" t="e">
        <f ca="1">Ануїтетна_графік_Авто!K88</f>
        <v>#VALUE!</v>
      </c>
      <c r="AQ87" s="215" t="e">
        <f ca="1">Ануїтетна_графік_Авто!M88</f>
        <v>#VALUE!</v>
      </c>
      <c r="AS87" s="215" t="e">
        <f t="shared" ca="1" si="4"/>
        <v>#VALUE!</v>
      </c>
    </row>
    <row r="88" spans="27:45" x14ac:dyDescent="0.25">
      <c r="AA88" s="215" t="e">
        <f ca="1">Ануїтетна_графік_Авто!G89</f>
        <v>#VALUE!</v>
      </c>
      <c r="AB88" s="215">
        <f t="shared" si="5"/>
        <v>85</v>
      </c>
      <c r="AD88" s="215" t="e">
        <f ca="1">Ануїтетна_графік_Авто!J89</f>
        <v>#VALUE!</v>
      </c>
      <c r="AF88" s="215" t="e">
        <f ca="1">Ануїтетна_графік_Авто!K89</f>
        <v>#VALUE!</v>
      </c>
      <c r="AH88" s="215" t="e">
        <f ca="1">Ануїтетна_графік_Авто!M89</f>
        <v>#VALUE!</v>
      </c>
      <c r="AJ88" s="215">
        <f t="shared" ca="1" si="3"/>
        <v>48730</v>
      </c>
      <c r="AK88" s="215">
        <v>85</v>
      </c>
      <c r="AM88" s="215" t="e">
        <f ca="1">Ануїтетна_графік_Авто!J89</f>
        <v>#VALUE!</v>
      </c>
      <c r="AO88" s="215" t="e">
        <f ca="1">Ануїтетна_графік_Авто!K89</f>
        <v>#VALUE!</v>
      </c>
      <c r="AQ88" s="215" t="e">
        <f ca="1">Ануїтетна_графік_Авто!M89</f>
        <v>#VALUE!</v>
      </c>
      <c r="AS88" s="215" t="e">
        <f t="shared" ca="1" si="4"/>
        <v>#VALUE!</v>
      </c>
    </row>
    <row r="89" spans="27:45" x14ac:dyDescent="0.25">
      <c r="AA89" s="215" t="e">
        <f ca="1">Ануїтетна_графік_Авто!G90</f>
        <v>#VALUE!</v>
      </c>
      <c r="AB89" s="215">
        <f>AB88+1</f>
        <v>86</v>
      </c>
      <c r="AD89" s="215" t="e">
        <f ca="1">Ануїтетна_графік_Авто!J90</f>
        <v>#VALUE!</v>
      </c>
      <c r="AF89" s="215" t="e">
        <f ca="1">Ануїтетна_графік_Авто!K90</f>
        <v>#VALUE!</v>
      </c>
      <c r="AH89" s="215" t="e">
        <f ca="1">Ануїтетна_графік_Авто!M90</f>
        <v>#VALUE!</v>
      </c>
      <c r="AJ89" s="215">
        <f t="shared" ca="1" si="3"/>
        <v>48760</v>
      </c>
      <c r="AK89" s="215">
        <v>86</v>
      </c>
      <c r="AM89" s="215" t="e">
        <f ca="1">Ануїтетна_графік_Авто!J90</f>
        <v>#VALUE!</v>
      </c>
      <c r="AO89" s="215" t="e">
        <f ca="1">Ануїтетна_графік_Авто!K90</f>
        <v>#VALUE!</v>
      </c>
      <c r="AQ89" s="215" t="e">
        <f ca="1">Ануїтетна_графік_Авто!M90</f>
        <v>#VALUE!</v>
      </c>
      <c r="AS89" s="215" t="e">
        <f t="shared" ca="1" si="4"/>
        <v>#VALUE!</v>
      </c>
    </row>
    <row r="90" spans="27:45" x14ac:dyDescent="0.25">
      <c r="AB90" s="215" t="s">
        <v>282</v>
      </c>
      <c r="AD90" s="215" t="e">
        <f ca="1">Ануїтетна_графік_Авто!J91</f>
        <v>#VALUE!</v>
      </c>
      <c r="AF90" s="215" t="e">
        <f ca="1">Ануїтетна_графік_Авто!K91</f>
        <v>#VALUE!</v>
      </c>
      <c r="AH90" s="215" t="e">
        <f ca="1">Ануїтетна_графік_Авто!M91</f>
        <v>#VALUE!</v>
      </c>
      <c r="AK90" s="215" t="s">
        <v>282</v>
      </c>
      <c r="AM90" s="215" t="e">
        <f ca="1">Ануїтетна_графік_Авто!J91</f>
        <v>#VALUE!</v>
      </c>
      <c r="AO90" s="215" t="e">
        <f ca="1">Ануїтетна_графік_Авто!K91</f>
        <v>#VALUE!</v>
      </c>
      <c r="AQ90" s="215"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51</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51</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51</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425781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306</v>
      </c>
      <c r="C2" s="162">
        <f>Калькулятор!G4</f>
        <v>1000000</v>
      </c>
      <c r="D2" s="162"/>
      <c r="E2" s="160" t="s">
        <v>307</v>
      </c>
      <c r="F2" s="160">
        <f ca="1">Ануїтетна_графік_Авто!Y11</f>
        <v>3.0905495065906408</v>
      </c>
    </row>
    <row r="3" spans="1:6" x14ac:dyDescent="0.25">
      <c r="C3" s="163"/>
      <c r="D3" s="163"/>
    </row>
    <row r="4" spans="1:6" x14ac:dyDescent="0.25">
      <c r="B4" s="160" t="s">
        <v>308</v>
      </c>
      <c r="C4" s="163">
        <f>C2/6*5</f>
        <v>833333.33333333326</v>
      </c>
      <c r="D4" s="163"/>
      <c r="E4" s="160" t="s">
        <v>309</v>
      </c>
      <c r="F4" s="160" t="e">
        <f ca="1">Ануїтетна_графік_Авто!Y10</f>
        <v>#NUM!</v>
      </c>
    </row>
    <row r="5" spans="1:6" x14ac:dyDescent="0.25">
      <c r="C5" s="163"/>
      <c r="D5" s="163"/>
    </row>
    <row r="6" spans="1:6" x14ac:dyDescent="0.25">
      <c r="B6" s="160" t="s">
        <v>310</v>
      </c>
      <c r="C6" s="163">
        <v>0.3</v>
      </c>
      <c r="D6" s="163"/>
      <c r="E6" s="160" t="s">
        <v>172</v>
      </c>
      <c r="F6" s="160">
        <f>C2-(C2*C6)</f>
        <v>700000</v>
      </c>
    </row>
    <row r="7" spans="1:6" x14ac:dyDescent="0.25">
      <c r="C7" s="163"/>
      <c r="D7" s="163"/>
    </row>
    <row r="8" spans="1:6" x14ac:dyDescent="0.25">
      <c r="B8" s="160" t="s">
        <v>311</v>
      </c>
      <c r="C8" s="163">
        <v>12</v>
      </c>
      <c r="D8" s="163"/>
      <c r="E8" s="160" t="s">
        <v>312</v>
      </c>
      <c r="F8" s="160">
        <f>Ануїтетна_графік_Авто!C32</f>
        <v>33005</v>
      </c>
    </row>
    <row r="9" spans="1:6" x14ac:dyDescent="0.25">
      <c r="C9" s="163"/>
      <c r="D9" s="163"/>
    </row>
    <row r="10" spans="1:6" x14ac:dyDescent="0.25">
      <c r="B10" s="160" t="s">
        <v>313</v>
      </c>
      <c r="C10" s="163">
        <v>5.4899999999999997E-2</v>
      </c>
      <c r="D10" s="163"/>
      <c r="E10" s="160" t="s">
        <v>314</v>
      </c>
      <c r="F10" s="160">
        <f ca="1">Ануїтетна_графік_Авто!Y3</f>
        <v>2652365.5814096606</v>
      </c>
    </row>
    <row r="12" spans="1:6" x14ac:dyDescent="0.25">
      <c r="B12" s="161" t="s">
        <v>315</v>
      </c>
      <c r="C12" s="161">
        <v>9.99</v>
      </c>
      <c r="E12" s="160" t="s">
        <v>209</v>
      </c>
      <c r="F12" s="160">
        <f ca="1">Ануїтетна_графік_Авто!Y2</f>
        <v>3758832.8626739467</v>
      </c>
    </row>
    <row r="13" spans="1:6" x14ac:dyDescent="0.25">
      <c r="C13" s="163"/>
    </row>
    <row r="14" spans="1:6" x14ac:dyDescent="0.25">
      <c r="B14" s="160" t="s">
        <v>316</v>
      </c>
      <c r="C14" s="163">
        <v>9.9000000000000008E-3</v>
      </c>
      <c r="F14" s="160">
        <v>3875282.8858883367</v>
      </c>
    </row>
    <row r="15" spans="1:6" x14ac:dyDescent="0.25">
      <c r="C15" s="163"/>
    </row>
    <row r="16" spans="1:6" x14ac:dyDescent="0.25">
      <c r="B16" s="160" t="s">
        <v>317</v>
      </c>
      <c r="C16" s="163">
        <v>0</v>
      </c>
      <c r="F16" s="160">
        <v>4256502.5480896216</v>
      </c>
    </row>
    <row r="17" spans="2:3" x14ac:dyDescent="0.25">
      <c r="C17" s="163"/>
    </row>
    <row r="18" spans="2:3" x14ac:dyDescent="0.25">
      <c r="B18" s="160" t="s">
        <v>318</v>
      </c>
      <c r="C18" s="160">
        <f>IF(C4&lt;=499620,C4*3%,IF(C4&lt;=878120,C4*4%,C4*5%))</f>
        <v>33333.333333333328</v>
      </c>
    </row>
    <row r="20" spans="2:3" x14ac:dyDescent="0.25">
      <c r="B20" s="160" t="s">
        <v>319</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3" width="0" style="160" hidden="1" customWidth="1"/>
    <col min="64" max="16384" width="8.7109375" style="160"/>
  </cols>
  <sheetData>
    <row r="1" spans="1:4" x14ac:dyDescent="0.25">
      <c r="B1" s="158"/>
      <c r="C1" s="159"/>
      <c r="D1" s="159"/>
    </row>
    <row r="2" spans="1:4" x14ac:dyDescent="0.25">
      <c r="B2" s="161" t="s">
        <v>25</v>
      </c>
      <c r="C2" s="162"/>
      <c r="D2" s="162"/>
    </row>
    <row r="3" spans="1:4" x14ac:dyDescent="0.25">
      <c r="B3" s="160" t="s">
        <v>27</v>
      </c>
      <c r="C3" s="163"/>
      <c r="D3" s="163"/>
    </row>
    <row r="4" spans="1:4" x14ac:dyDescent="0.25">
      <c r="B4" s="160" t="s">
        <v>30</v>
      </c>
      <c r="C4" s="163"/>
      <c r="D4" s="163"/>
    </row>
    <row r="5" spans="1:4" x14ac:dyDescent="0.25">
      <c r="C5" s="163"/>
      <c r="D5" s="163"/>
    </row>
    <row r="6" spans="1:4" x14ac:dyDescent="0.25">
      <c r="C6" s="163"/>
      <c r="D6" s="163"/>
    </row>
    <row r="7" spans="1:4" x14ac:dyDescent="0.25">
      <c r="C7" s="163"/>
      <c r="D7" s="163"/>
    </row>
    <row r="8" spans="1:4" x14ac:dyDescent="0.25">
      <c r="B8" s="160" t="s">
        <v>320</v>
      </c>
      <c r="C8" s="163"/>
      <c r="D8" s="163"/>
    </row>
    <row r="9" spans="1:4" x14ac:dyDescent="0.25">
      <c r="B9" s="160" t="s">
        <v>321</v>
      </c>
      <c r="C9" s="163"/>
      <c r="D9" s="163"/>
    </row>
    <row r="10" spans="1:4" x14ac:dyDescent="0.25">
      <c r="C10" s="163"/>
      <c r="D10" s="163"/>
    </row>
    <row r="11" spans="1:4" x14ac:dyDescent="0.25">
      <c r="C11" s="160" t="s">
        <v>322</v>
      </c>
      <c r="D11" s="160" t="s">
        <v>323</v>
      </c>
    </row>
    <row r="12" spans="1:4" x14ac:dyDescent="0.25">
      <c r="A12" s="160" t="s">
        <v>44</v>
      </c>
      <c r="B12" s="161" t="s">
        <v>45</v>
      </c>
      <c r="C12" s="161"/>
    </row>
    <row r="13" spans="1:4" x14ac:dyDescent="0.25">
      <c r="B13" s="160" t="s">
        <v>46</v>
      </c>
      <c r="C13" s="163"/>
    </row>
    <row r="14" spans="1:4" x14ac:dyDescent="0.25">
      <c r="B14" s="160" t="s">
        <v>47</v>
      </c>
      <c r="C14" s="163"/>
    </row>
    <row r="15" spans="1:4" x14ac:dyDescent="0.25">
      <c r="B15" s="160" t="s">
        <v>48</v>
      </c>
      <c r="C15" s="163"/>
    </row>
    <row r="16" spans="1:4" x14ac:dyDescent="0.25">
      <c r="C16" s="163"/>
    </row>
    <row r="17" spans="1:3" x14ac:dyDescent="0.25">
      <c r="A17" s="160" t="s">
        <v>49</v>
      </c>
      <c r="B17" s="160" t="s">
        <v>50</v>
      </c>
      <c r="C17" s="163"/>
    </row>
    <row r="19" spans="1:3" x14ac:dyDescent="0.25">
      <c r="A19" s="160" t="s">
        <v>51</v>
      </c>
      <c r="B19" s="160" t="s">
        <v>52</v>
      </c>
    </row>
    <row r="20" spans="1:3" x14ac:dyDescent="0.25">
      <c r="B20" s="160" t="s">
        <v>53</v>
      </c>
    </row>
    <row r="21" spans="1:3" x14ac:dyDescent="0.25">
      <c r="B21" s="160" t="s">
        <v>54</v>
      </c>
    </row>
    <row r="22" spans="1:3" x14ac:dyDescent="0.25">
      <c r="B22" s="160" t="s">
        <v>55</v>
      </c>
    </row>
    <row r="24" spans="1:3" x14ac:dyDescent="0.25">
      <c r="A24" s="160" t="s">
        <v>56</v>
      </c>
      <c r="B24" s="160" t="s">
        <v>57</v>
      </c>
    </row>
    <row r="25" spans="1:3" x14ac:dyDescent="0.25">
      <c r="B25" s="160" t="s">
        <v>58</v>
      </c>
    </row>
    <row r="27" spans="1:3" x14ac:dyDescent="0.25">
      <c r="A27" s="160" t="s">
        <v>59</v>
      </c>
      <c r="B27" s="160" t="s">
        <v>60</v>
      </c>
    </row>
    <row r="28" spans="1:3" x14ac:dyDescent="0.25">
      <c r="B28" s="160" t="s">
        <v>61</v>
      </c>
    </row>
    <row r="30" spans="1:3" x14ac:dyDescent="0.25">
      <c r="A30" s="160" t="s">
        <v>62</v>
      </c>
      <c r="B30" s="160" t="s">
        <v>63</v>
      </c>
    </row>
    <row r="31" spans="1:3" x14ac:dyDescent="0.25">
      <c r="B31" s="160" t="s">
        <v>64</v>
      </c>
    </row>
    <row r="33" spans="1:3" x14ac:dyDescent="0.25">
      <c r="A33" s="160" t="s">
        <v>65</v>
      </c>
      <c r="B33" s="160" t="s">
        <v>66</v>
      </c>
    </row>
    <row r="34" spans="1:3" x14ac:dyDescent="0.25">
      <c r="B34" s="160" t="s">
        <v>67</v>
      </c>
    </row>
    <row r="39" spans="1:3" x14ac:dyDescent="0.25">
      <c r="A39" s="160" t="s">
        <v>71</v>
      </c>
      <c r="B39" s="160" t="s">
        <v>72</v>
      </c>
      <c r="C39" s="160">
        <f>'Платоспроможність боржника'!C63</f>
        <v>0</v>
      </c>
    </row>
    <row r="40" spans="1:3" x14ac:dyDescent="0.25">
      <c r="B40" s="160" t="s">
        <v>73</v>
      </c>
      <c r="C40" s="160">
        <f>'Платоспроможність боржника'!C64</f>
        <v>0</v>
      </c>
    </row>
    <row r="41" spans="1:3" x14ac:dyDescent="0.25">
      <c r="B41" s="160" t="s">
        <v>74</v>
      </c>
      <c r="C41" s="160">
        <f>'Платоспроможність боржника'!C65</f>
        <v>0</v>
      </c>
    </row>
    <row r="42" spans="1:3" x14ac:dyDescent="0.25">
      <c r="B42" s="160" t="s">
        <v>75</v>
      </c>
      <c r="C42" s="160">
        <f>'Платоспроможність боржника'!C66</f>
        <v>0</v>
      </c>
    </row>
    <row r="51" spans="1:4" x14ac:dyDescent="0.25">
      <c r="B51" s="160" t="s">
        <v>78</v>
      </c>
    </row>
    <row r="52" spans="1:4" x14ac:dyDescent="0.25">
      <c r="B52" s="160" t="s">
        <v>80</v>
      </c>
      <c r="C52" s="160">
        <f>'Платоспроможність боржника'!C76</f>
        <v>2.0904257321485764E-2</v>
      </c>
      <c r="D52" s="160" t="s">
        <v>324</v>
      </c>
    </row>
    <row r="53" spans="1:4" x14ac:dyDescent="0.25">
      <c r="B53" s="160" t="s">
        <v>82</v>
      </c>
      <c r="C53" s="160">
        <f>'Платоспроможність боржника'!C77</f>
        <v>2.4675000000000002E-2</v>
      </c>
      <c r="D53" s="160" t="s">
        <v>325</v>
      </c>
    </row>
    <row r="54" spans="1:4" x14ac:dyDescent="0.25">
      <c r="B54" s="160" t="s">
        <v>84</v>
      </c>
      <c r="C54" s="160">
        <f>'Платоспроможність боржника'!C78</f>
        <v>2.0904257321485764E-2</v>
      </c>
    </row>
    <row r="56" spans="1:4" x14ac:dyDescent="0.25">
      <c r="A56" s="160" t="s">
        <v>86</v>
      </c>
      <c r="B56" s="160" t="s">
        <v>87</v>
      </c>
      <c r="C56" s="160">
        <f>'Платоспроможність боржника'!$H$91</f>
        <v>4000000</v>
      </c>
    </row>
    <row r="57" spans="1:4" x14ac:dyDescent="0.25">
      <c r="B57" s="160" t="s">
        <v>89</v>
      </c>
      <c r="C57" s="160">
        <f>C8+C9</f>
        <v>0</v>
      </c>
    </row>
    <row r="58" spans="1:4" x14ac:dyDescent="0.25">
      <c r="B58" s="160" t="s">
        <v>86</v>
      </c>
      <c r="C58" s="160">
        <f>MAX(C56-C57,0)</f>
        <v>4000000</v>
      </c>
    </row>
    <row r="60" spans="1:4" x14ac:dyDescent="0.25">
      <c r="A60" s="160" t="s">
        <v>93</v>
      </c>
      <c r="B60" s="160" t="s">
        <v>94</v>
      </c>
      <c r="C60" s="160" t="s">
        <v>322</v>
      </c>
      <c r="D60" s="160" t="s">
        <v>323</v>
      </c>
    </row>
    <row r="61" spans="1:4" x14ac:dyDescent="0.25">
      <c r="B61" s="160" t="s">
        <v>96</v>
      </c>
      <c r="C61" s="160">
        <f>IFERROR(VLOOKUP(C19,'коефіцієнт витрат'!B2:C6,2,),70%)</f>
        <v>0.7</v>
      </c>
      <c r="D61" s="160">
        <f>IFERROR(VLOOKUP(D19,'коефіцієнт витрат'!B2:C6,2,),70%)</f>
        <v>0.7</v>
      </c>
    </row>
    <row r="62" spans="1:4" x14ac:dyDescent="0.25">
      <c r="B62" s="160" t="s">
        <v>98</v>
      </c>
      <c r="C62" s="160">
        <f>IF(C12="Чистий дохід за мінусом податків",1,0.805)*C13-C14</f>
        <v>0</v>
      </c>
      <c r="D62" s="160">
        <f>IF(D12="Чистий дохід за мінусом податків",1,0.805)*D13-D14</f>
        <v>0</v>
      </c>
    </row>
    <row r="63" spans="1:4" x14ac:dyDescent="0.25">
      <c r="B63" s="160" t="s">
        <v>100</v>
      </c>
      <c r="C63" s="160">
        <f>C17</f>
        <v>0</v>
      </c>
      <c r="D63" s="160">
        <f>D17</f>
        <v>0</v>
      </c>
    </row>
    <row r="64" spans="1:4" x14ac:dyDescent="0.25">
      <c r="B64" s="160" t="s">
        <v>102</v>
      </c>
      <c r="C64" s="160">
        <f>(C20-C21)-MAX(C61*(C20-C21),C22)</f>
        <v>0</v>
      </c>
      <c r="D64" s="160">
        <f>(D20-D21)-MAX(D61*(D20-D21),D22)</f>
        <v>0</v>
      </c>
    </row>
    <row r="65" spans="1:4" x14ac:dyDescent="0.25">
      <c r="B65" s="160" t="s">
        <v>105</v>
      </c>
      <c r="C65" s="160">
        <f>C24</f>
        <v>0</v>
      </c>
      <c r="D65" s="160">
        <f>D24</f>
        <v>0</v>
      </c>
    </row>
    <row r="66" spans="1:4" x14ac:dyDescent="0.25">
      <c r="B66" s="160" t="s">
        <v>107</v>
      </c>
      <c r="C66" s="160">
        <f>C27-C28</f>
        <v>0</v>
      </c>
      <c r="D66" s="160">
        <f>D27-D28</f>
        <v>0</v>
      </c>
    </row>
    <row r="67" spans="1:4" x14ac:dyDescent="0.25">
      <c r="B67" s="160" t="s">
        <v>109</v>
      </c>
      <c r="C67" s="160">
        <f>(C30-C31)</f>
        <v>0</v>
      </c>
      <c r="D67" s="160">
        <f>(D30-D31)</f>
        <v>0</v>
      </c>
    </row>
    <row r="68" spans="1:4" x14ac:dyDescent="0.25">
      <c r="B68" s="160" t="s">
        <v>326</v>
      </c>
      <c r="C68" s="160">
        <f>SUM(C62:C67)</f>
        <v>0</v>
      </c>
      <c r="D68" s="160">
        <f>SUM(D62:D67)</f>
        <v>0</v>
      </c>
    </row>
    <row r="69" spans="1:4" x14ac:dyDescent="0.25">
      <c r="B69" s="160" t="s">
        <v>112</v>
      </c>
      <c r="C69" s="160">
        <f>C68+D68</f>
        <v>0</v>
      </c>
    </row>
    <row r="71" spans="1:4" x14ac:dyDescent="0.25">
      <c r="A71" s="160" t="s">
        <v>113</v>
      </c>
      <c r="B71" s="160" t="s">
        <v>90</v>
      </c>
      <c r="C71" s="160">
        <f>'Платоспроможність боржника'!H82</f>
        <v>30</v>
      </c>
    </row>
    <row r="72" spans="1:4" x14ac:dyDescent="0.25">
      <c r="B72" s="160" t="s">
        <v>114</v>
      </c>
      <c r="C72" s="160">
        <f>IF('Платоспроможність боржника'!C3&lt;&gt;"",'Платоспроможність боржника'!C4/'Платоспроможність боржника'!C3*100,0)</f>
        <v>70</v>
      </c>
    </row>
    <row r="73" spans="1:4" x14ac:dyDescent="0.25">
      <c r="B73" s="160" t="s">
        <v>113</v>
      </c>
      <c r="C73" s="160">
        <f>'Платоспроможність боржника'!C97</f>
        <v>103960.00000000003</v>
      </c>
    </row>
    <row r="75" spans="1:4" x14ac:dyDescent="0.25">
      <c r="A75" s="160" t="s">
        <v>115</v>
      </c>
      <c r="B75" s="160" t="s">
        <v>92</v>
      </c>
      <c r="C75" s="160">
        <f>'Платоспроможність боржника'!H83</f>
        <v>0.65</v>
      </c>
    </row>
    <row r="76" spans="1:4" x14ac:dyDescent="0.25">
      <c r="B76" s="160" t="s">
        <v>116</v>
      </c>
      <c r="C76" s="160">
        <f>C33+D33+E33+C34+D34+E34</f>
        <v>0</v>
      </c>
    </row>
    <row r="77" spans="1:4" x14ac:dyDescent="0.25">
      <c r="B77" s="160" t="s">
        <v>115</v>
      </c>
      <c r="C77" s="160">
        <f>IF(C54&lt;&gt;0,(C75*C69-C76)/C54,0)</f>
        <v>0</v>
      </c>
    </row>
    <row r="79" spans="1:4" x14ac:dyDescent="0.25">
      <c r="A79" s="160" t="s">
        <v>117</v>
      </c>
      <c r="B79" s="160" t="s">
        <v>95</v>
      </c>
      <c r="C79" s="160">
        <f>'Платоспроможність боржника'!H84</f>
        <v>1</v>
      </c>
    </row>
    <row r="80" spans="1:4" x14ac:dyDescent="0.25">
      <c r="B80" s="160" t="s">
        <v>97</v>
      </c>
      <c r="C80" s="160">
        <f>'Платоспроможність боржника'!H85</f>
        <v>1.266</v>
      </c>
    </row>
    <row r="81" spans="1:3" x14ac:dyDescent="0.25">
      <c r="B81" s="160" t="s">
        <v>99</v>
      </c>
      <c r="C81" s="160">
        <f>'Платоспроможність боржника'!H86</f>
        <v>1420.07</v>
      </c>
    </row>
    <row r="83" spans="1:3" x14ac:dyDescent="0.25">
      <c r="B83" s="160" t="s">
        <v>118</v>
      </c>
      <c r="C83" s="160">
        <f>IF(C87&lt;=4,VLOOKUP(C87,'Таблиця МП_БВС'!H:I,2,),IF(C87&gt;4,'Таблиця МП_БВС'!$I$7+(C87-4)*C81,0))</f>
        <v>5120.17</v>
      </c>
    </row>
    <row r="84" spans="1:3" x14ac:dyDescent="0.25">
      <c r="B84" s="160" t="s">
        <v>119</v>
      </c>
      <c r="C84" s="160">
        <f>IFERROR(VLOOKUP(C3,'Таблиця МП_БВС'!$B:$E,4,),1.33)</f>
        <v>1.33</v>
      </c>
    </row>
    <row r="85" spans="1:3" x14ac:dyDescent="0.25">
      <c r="B85" s="160" t="s">
        <v>120</v>
      </c>
      <c r="C85" s="160">
        <f>IFERROR(VLOOKUP(C4,'Таблиця МП_БВС'!$B:$E,4,),1.33)</f>
        <v>1.33</v>
      </c>
    </row>
    <row r="86" spans="1:3" x14ac:dyDescent="0.25">
      <c r="B86" s="160" t="s">
        <v>122</v>
      </c>
      <c r="C86" s="160">
        <f>MAX(C84,C85)</f>
        <v>1.33</v>
      </c>
    </row>
    <row r="87" spans="1:3" x14ac:dyDescent="0.25">
      <c r="B87" s="160" t="s">
        <v>123</v>
      </c>
      <c r="C87" s="160">
        <f>1+IF(OR(H1="одружений(на)",H1="не зареєстрований шлюб"),1,0)+H2</f>
        <v>1</v>
      </c>
    </row>
    <row r="88" spans="1:3" x14ac:dyDescent="0.25">
      <c r="B88" s="160" t="s">
        <v>124</v>
      </c>
      <c r="C88" s="160">
        <f>MAX(C2,C83*C86*$C$80)</f>
        <v>8621.2398426</v>
      </c>
    </row>
    <row r="89" spans="1:3" x14ac:dyDescent="0.25">
      <c r="B89" s="160" t="s">
        <v>117</v>
      </c>
      <c r="C89" s="160">
        <f>IF(C54&lt;&gt;0,(C79*C69-C76-C88)/C54,0)</f>
        <v>-412415.50512961479</v>
      </c>
    </row>
    <row r="91" spans="1:3" x14ac:dyDescent="0.25">
      <c r="A91" s="160" t="s">
        <v>125</v>
      </c>
      <c r="B91" s="160" t="s">
        <v>94</v>
      </c>
    </row>
    <row r="93" spans="1:3" x14ac:dyDescent="0.25">
      <c r="A93" s="160" t="s">
        <v>126</v>
      </c>
      <c r="B93" s="160" t="s">
        <v>101</v>
      </c>
      <c r="C93" s="160">
        <f>'Платоспроможність боржника'!H87</f>
        <v>4000000</v>
      </c>
    </row>
    <row r="94" spans="1:3" x14ac:dyDescent="0.25">
      <c r="B94" s="160" t="s">
        <v>127</v>
      </c>
      <c r="C94" s="160">
        <f>C39+C40+C41+C42</f>
        <v>0</v>
      </c>
    </row>
    <row r="95" spans="1:3" x14ac:dyDescent="0.25">
      <c r="B95" s="160" t="s">
        <v>126</v>
      </c>
      <c r="C95" s="160">
        <f>C93-C94</f>
        <v>4000000</v>
      </c>
    </row>
    <row r="97" spans="1:3" x14ac:dyDescent="0.25">
      <c r="A97" s="160" t="s">
        <v>128</v>
      </c>
      <c r="B97" s="160" t="s">
        <v>87</v>
      </c>
      <c r="C97" s="160">
        <f>'Платоспроможність боржника'!$H$91</f>
        <v>4000000</v>
      </c>
    </row>
    <row r="99" spans="1:3" x14ac:dyDescent="0.25">
      <c r="B99" s="160" t="s">
        <v>128</v>
      </c>
      <c r="C99" s="160">
        <f>IF(C98+'Платоспроможність боржника'!H5*31&lt;=C97,C56,0)</f>
        <v>4000000</v>
      </c>
    </row>
    <row r="101" spans="1:3" x14ac:dyDescent="0.25">
      <c r="A101" s="160" t="s">
        <v>129</v>
      </c>
      <c r="B101" s="160" t="s">
        <v>129</v>
      </c>
      <c r="C101" s="160">
        <f>'Платоспроможність боржника'!C126</f>
        <v>100000.00000000003</v>
      </c>
    </row>
    <row r="103" spans="1:3" x14ac:dyDescent="0.25">
      <c r="A103" s="160" t="s">
        <v>130</v>
      </c>
      <c r="B103" s="160" t="s">
        <v>94</v>
      </c>
    </row>
    <row r="104" spans="1:3" x14ac:dyDescent="0.25">
      <c r="A104" s="160" t="s">
        <v>131</v>
      </c>
      <c r="B104" s="160" t="s">
        <v>94</v>
      </c>
    </row>
    <row r="105" spans="1:3" x14ac:dyDescent="0.25">
      <c r="A105" s="160" t="s">
        <v>132</v>
      </c>
      <c r="B105" s="160" t="s">
        <v>94</v>
      </c>
    </row>
    <row r="107" spans="1:3" x14ac:dyDescent="0.25">
      <c r="A107" s="160" t="s">
        <v>133</v>
      </c>
      <c r="B107" s="160" t="s">
        <v>103</v>
      </c>
      <c r="C107" s="160">
        <f>'Платоспроможність боржника'!H88</f>
        <v>0.5</v>
      </c>
    </row>
    <row r="108" spans="1:3" x14ac:dyDescent="0.25">
      <c r="B108" s="160" t="s">
        <v>133</v>
      </c>
      <c r="C108" s="160">
        <f>IF('Платоспроможність боржника'!C5&gt;0,C107*'Платоспроможність боржника'!C5,0)</f>
        <v>2500000</v>
      </c>
    </row>
    <row r="110" spans="1:3" x14ac:dyDescent="0.25">
      <c r="B110" s="160" t="s">
        <v>134</v>
      </c>
      <c r="C110" s="160">
        <f>ROUNDDOWN(MAX(MIN(C58,C73,C77,C89,C95,C99,C101,C108),0)*'Платоспроможність боржника'!H89,-2)</f>
        <v>0</v>
      </c>
    </row>
    <row r="112" spans="1:3" x14ac:dyDescent="0.25">
      <c r="B112" s="160" t="s">
        <v>327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8" width="0" style="160" hidden="1" customWidth="1"/>
    <col min="59" max="16384" width="8.7109375" style="160"/>
  </cols>
  <sheetData>
    <row r="1" spans="2:4" x14ac:dyDescent="0.25">
      <c r="B1" s="158"/>
      <c r="C1" s="159" t="s">
        <v>21</v>
      </c>
      <c r="D1" s="159" t="s">
        <v>322</v>
      </c>
    </row>
    <row r="2" spans="2:4" x14ac:dyDescent="0.25">
      <c r="B2" s="161" t="s">
        <v>328</v>
      </c>
      <c r="C2" s="162">
        <f>'Платоспроможність боржника'!C135</f>
        <v>100000</v>
      </c>
      <c r="D2" s="162">
        <f>'Платоспроможність поручителя'!C110</f>
        <v>0</v>
      </c>
    </row>
    <row r="3" spans="2:4" x14ac:dyDescent="0.25">
      <c r="B3" s="160" t="s">
        <v>86</v>
      </c>
      <c r="C3" s="163">
        <f>'Платоспроможність боржника'!C82</f>
        <v>4000000</v>
      </c>
      <c r="D3" s="163">
        <f>'Платоспроможність поручителя'!C58</f>
        <v>4000000</v>
      </c>
    </row>
    <row r="4" spans="2:4" x14ac:dyDescent="0.25">
      <c r="B4" s="160" t="s">
        <v>113</v>
      </c>
      <c r="C4" s="163">
        <f>'Платоспроможність боржника'!C97</f>
        <v>103960.00000000003</v>
      </c>
      <c r="D4" s="163">
        <f>'Платоспроможність поручителя'!C73</f>
        <v>103960.00000000003</v>
      </c>
    </row>
    <row r="5" spans="2:4" x14ac:dyDescent="0.25">
      <c r="B5" s="160" t="s">
        <v>115</v>
      </c>
      <c r="C5" s="163">
        <f>'Платоспроможність боржника'!C101</f>
        <v>50061572.8129403</v>
      </c>
      <c r="D5" s="163">
        <f>'Платоспроможність поручителя'!C77</f>
        <v>0</v>
      </c>
    </row>
    <row r="6" spans="2:4" x14ac:dyDescent="0.25">
      <c r="B6" s="160" t="s">
        <v>117</v>
      </c>
      <c r="C6" s="163">
        <f>'Платоспроможність боржника'!C114</f>
        <v>76605388.822470859</v>
      </c>
      <c r="D6" s="163">
        <f>'Платоспроможність поручителя'!C89</f>
        <v>-412415.50512961479</v>
      </c>
    </row>
    <row r="7" spans="2:4" x14ac:dyDescent="0.25">
      <c r="B7" s="160" t="s">
        <v>126</v>
      </c>
      <c r="C7" s="163">
        <f>'Платоспроможність боржника'!C120</f>
        <v>4000000</v>
      </c>
      <c r="D7" s="163">
        <f>'Платоспроможність поручителя'!C95</f>
        <v>4000000</v>
      </c>
    </row>
    <row r="8" spans="2:4" x14ac:dyDescent="0.25">
      <c r="B8" s="160" t="s">
        <v>128</v>
      </c>
      <c r="C8" s="163">
        <f>'Платоспроможність боржника'!C124</f>
        <v>4000000</v>
      </c>
      <c r="D8" s="163">
        <f>'Платоспроможність поручителя'!C99</f>
        <v>4000000</v>
      </c>
    </row>
    <row r="9" spans="2:4" x14ac:dyDescent="0.25">
      <c r="B9" s="160" t="s">
        <v>129</v>
      </c>
      <c r="C9" s="163">
        <f>'Платоспроможність боржника'!C126</f>
        <v>100000.00000000003</v>
      </c>
      <c r="D9" s="163">
        <f>'Платоспроможність поручителя'!C101</f>
        <v>100000.00000000003</v>
      </c>
    </row>
    <row r="10" spans="2:4" x14ac:dyDescent="0.25">
      <c r="B10" s="160" t="s">
        <v>133</v>
      </c>
      <c r="C10" s="163">
        <f>'Платоспроможність боржника'!C133</f>
        <v>2500000</v>
      </c>
      <c r="D10" s="163">
        <f>'Платоспроможність поручителя'!C108</f>
        <v>2500000</v>
      </c>
    </row>
    <row r="12" spans="2:4" x14ac:dyDescent="0.25">
      <c r="B12" s="161" t="s">
        <v>170</v>
      </c>
      <c r="C12" s="161">
        <f ca="1">'Платоспроможність боржника'!C174</f>
        <v>1</v>
      </c>
    </row>
    <row r="13" spans="2:4" x14ac:dyDescent="0.25">
      <c r="B13" s="160" t="s">
        <v>137</v>
      </c>
      <c r="C13" s="163">
        <f>'Платоспроможність боржника'!C139</f>
        <v>33016.53</v>
      </c>
    </row>
    <row r="14" spans="2:4" x14ac:dyDescent="0.25">
      <c r="B14" s="160" t="s">
        <v>154</v>
      </c>
      <c r="C14" s="163">
        <f>'Платоспроможність боржника'!C141</f>
        <v>1601378.7601574</v>
      </c>
    </row>
    <row r="15" spans="2:4" x14ac:dyDescent="0.25">
      <c r="B15" s="160" t="s">
        <v>143</v>
      </c>
      <c r="C15" s="163">
        <f>'Платоспроможність боржника'!C142</f>
        <v>38.666816356547358</v>
      </c>
    </row>
    <row r="16" spans="2:4" x14ac:dyDescent="0.25">
      <c r="B16" s="160" t="s">
        <v>145</v>
      </c>
      <c r="C16" s="163">
        <f>'Платоспроможність боржника'!C143</f>
        <v>2.050716149068323E-2</v>
      </c>
    </row>
    <row r="17" spans="2:3" x14ac:dyDescent="0.25">
      <c r="B17" s="160" t="s">
        <v>147</v>
      </c>
      <c r="C17" s="163">
        <f>'Платоспроможність боржника'!C144</f>
        <v>2.016016666666667E-2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7" width="0" style="160" hidden="1" customWidth="1"/>
    <col min="58" max="16384" width="8.7109375" style="160"/>
  </cols>
  <sheetData>
    <row r="1" spans="2:9" x14ac:dyDescent="0.25">
      <c r="B1" s="158"/>
      <c r="C1" s="159" t="s">
        <v>329</v>
      </c>
      <c r="D1" s="159"/>
      <c r="F1" s="160" t="s">
        <v>330</v>
      </c>
    </row>
    <row r="2" spans="2:9" x14ac:dyDescent="0.25">
      <c r="B2" s="161" t="s">
        <v>331</v>
      </c>
      <c r="C2" s="162">
        <v>0.7</v>
      </c>
      <c r="D2" s="162"/>
      <c r="F2" s="160" t="s">
        <v>332</v>
      </c>
    </row>
    <row r="3" spans="2:9" x14ac:dyDescent="0.25">
      <c r="B3" s="160" t="s">
        <v>333</v>
      </c>
      <c r="C3" s="163">
        <v>0.5</v>
      </c>
      <c r="D3" s="163"/>
      <c r="F3" s="160">
        <v>1</v>
      </c>
      <c r="G3" s="160" t="s">
        <v>334</v>
      </c>
      <c r="H3" s="160" t="s">
        <v>335</v>
      </c>
      <c r="I3" s="160">
        <v>1500</v>
      </c>
    </row>
    <row r="4" spans="2:9" x14ac:dyDescent="0.25">
      <c r="B4" s="160" t="s">
        <v>336</v>
      </c>
      <c r="C4" s="163">
        <v>0.6</v>
      </c>
      <c r="D4" s="163"/>
      <c r="H4" s="160" t="s">
        <v>337</v>
      </c>
      <c r="I4" s="160">
        <v>1400</v>
      </c>
    </row>
    <row r="5" spans="2:9" x14ac:dyDescent="0.25">
      <c r="B5" s="160" t="s">
        <v>338</v>
      </c>
      <c r="C5" s="163">
        <v>0.3</v>
      </c>
      <c r="D5" s="163"/>
      <c r="H5" s="160" t="s">
        <v>339</v>
      </c>
      <c r="I5" s="160">
        <v>1200</v>
      </c>
    </row>
    <row r="6" spans="2:9" x14ac:dyDescent="0.25">
      <c r="B6" s="160" t="s">
        <v>340</v>
      </c>
      <c r="C6" s="163">
        <v>0.4</v>
      </c>
      <c r="D6" s="163"/>
      <c r="H6" s="160" t="s">
        <v>341</v>
      </c>
      <c r="I6" s="160">
        <v>1000</v>
      </c>
    </row>
    <row r="7" spans="2:9" x14ac:dyDescent="0.25">
      <c r="B7" s="160" t="s">
        <v>342</v>
      </c>
      <c r="C7" s="163">
        <v>0.7</v>
      </c>
      <c r="D7" s="163"/>
      <c r="H7" s="160" t="s">
        <v>343</v>
      </c>
      <c r="I7" s="160">
        <v>600</v>
      </c>
    </row>
    <row r="8" spans="2:9" x14ac:dyDescent="0.25">
      <c r="C8" s="163"/>
      <c r="D8" s="163"/>
      <c r="H8" s="160" t="s">
        <v>344</v>
      </c>
      <c r="I8" s="160">
        <v>0</v>
      </c>
    </row>
    <row r="9" spans="2:9" x14ac:dyDescent="0.25">
      <c r="B9" s="160" t="s">
        <v>345</v>
      </c>
      <c r="C9" s="163"/>
      <c r="D9" s="163"/>
      <c r="F9" s="160">
        <v>2</v>
      </c>
      <c r="G9" s="160" t="s">
        <v>346</v>
      </c>
      <c r="H9" s="160" t="s">
        <v>347</v>
      </c>
      <c r="I9" s="160">
        <v>1250</v>
      </c>
    </row>
    <row r="10" spans="2:9" x14ac:dyDescent="0.25">
      <c r="B10" s="160" t="s">
        <v>348</v>
      </c>
      <c r="C10" s="163" t="s">
        <v>349</v>
      </c>
      <c r="D10" s="163"/>
      <c r="H10" s="160" t="s">
        <v>350</v>
      </c>
      <c r="I10" s="160">
        <v>1000</v>
      </c>
    </row>
    <row r="11" spans="2:9" x14ac:dyDescent="0.25">
      <c r="B11" s="160" t="s">
        <v>351</v>
      </c>
      <c r="C11" s="160">
        <v>1</v>
      </c>
      <c r="H11" s="160" t="s">
        <v>352</v>
      </c>
      <c r="I11" s="160">
        <v>750</v>
      </c>
    </row>
    <row r="12" spans="2:9" x14ac:dyDescent="0.25">
      <c r="B12" s="161" t="s">
        <v>353</v>
      </c>
      <c r="C12" s="161">
        <v>2</v>
      </c>
      <c r="H12" s="160" t="s">
        <v>354</v>
      </c>
      <c r="I12" s="160">
        <v>500</v>
      </c>
    </row>
    <row r="13" spans="2:9" x14ac:dyDescent="0.25">
      <c r="B13" s="160" t="s">
        <v>355</v>
      </c>
      <c r="C13" s="163">
        <v>3</v>
      </c>
      <c r="H13" s="160" t="s">
        <v>356</v>
      </c>
      <c r="I13" s="160">
        <v>250</v>
      </c>
    </row>
    <row r="14" spans="2:9" x14ac:dyDescent="0.25">
      <c r="B14" s="160" t="s">
        <v>357</v>
      </c>
      <c r="C14" s="163">
        <v>4</v>
      </c>
      <c r="H14" s="160" t="s">
        <v>358</v>
      </c>
      <c r="I14" s="160">
        <v>0</v>
      </c>
    </row>
    <row r="15" spans="2:9" x14ac:dyDescent="0.25">
      <c r="B15" s="160" t="s">
        <v>359</v>
      </c>
      <c r="C15" s="163">
        <v>5</v>
      </c>
      <c r="F15" s="160">
        <v>3</v>
      </c>
      <c r="G15" s="160" t="s">
        <v>360</v>
      </c>
      <c r="H15" s="160" t="s">
        <v>361</v>
      </c>
      <c r="I15" s="160">
        <v>1000</v>
      </c>
    </row>
    <row r="16" spans="2:9" x14ac:dyDescent="0.25">
      <c r="C16" s="163"/>
      <c r="H16" s="160" t="s">
        <v>362</v>
      </c>
      <c r="I16" s="160">
        <v>800</v>
      </c>
    </row>
    <row r="17" spans="2:9" x14ac:dyDescent="0.25">
      <c r="C17" s="163"/>
      <c r="H17" s="160" t="s">
        <v>363</v>
      </c>
      <c r="I17" s="160">
        <v>600</v>
      </c>
    </row>
    <row r="18" spans="2:9" x14ac:dyDescent="0.25">
      <c r="B18" s="160" t="s">
        <v>364</v>
      </c>
      <c r="H18" s="160" t="s">
        <v>365</v>
      </c>
      <c r="I18" s="160">
        <v>400</v>
      </c>
    </row>
    <row r="19" spans="2:9" x14ac:dyDescent="0.25">
      <c r="B19" s="160" t="s">
        <v>366</v>
      </c>
      <c r="C19" s="160" t="s">
        <v>367</v>
      </c>
      <c r="H19" s="160" t="s">
        <v>368</v>
      </c>
      <c r="I19" s="160">
        <v>200</v>
      </c>
    </row>
    <row r="20" spans="2:9" x14ac:dyDescent="0.25">
      <c r="B20" s="160" t="s">
        <v>369</v>
      </c>
      <c r="C20" s="160">
        <v>1</v>
      </c>
      <c r="F20" s="160">
        <v>4</v>
      </c>
      <c r="G20" s="160" t="s">
        <v>370</v>
      </c>
      <c r="H20" s="160" t="s">
        <v>371</v>
      </c>
      <c r="I20" s="160">
        <v>500</v>
      </c>
    </row>
    <row r="21" spans="2:9" x14ac:dyDescent="0.25">
      <c r="B21" s="160" t="s">
        <v>372</v>
      </c>
      <c r="C21" s="160">
        <v>2</v>
      </c>
      <c r="H21" s="160" t="s">
        <v>373</v>
      </c>
      <c r="I21" s="160">
        <v>0</v>
      </c>
    </row>
    <row r="22" spans="2:9" x14ac:dyDescent="0.25">
      <c r="B22" s="160" t="s">
        <v>374</v>
      </c>
      <c r="C22" s="160">
        <v>3</v>
      </c>
    </row>
    <row r="23" spans="2:9" x14ac:dyDescent="0.25">
      <c r="B23" s="160" t="s">
        <v>375</v>
      </c>
      <c r="C23" s="160">
        <v>4</v>
      </c>
      <c r="F23" s="160" t="s">
        <v>376</v>
      </c>
    </row>
    <row r="24" spans="2:9" x14ac:dyDescent="0.25">
      <c r="B24" s="160" t="s">
        <v>377</v>
      </c>
      <c r="C24" s="160">
        <v>5</v>
      </c>
      <c r="F24" s="160">
        <v>5</v>
      </c>
      <c r="G24" s="160" t="s">
        <v>156</v>
      </c>
      <c r="H24" s="160" t="s">
        <v>378</v>
      </c>
      <c r="I24" s="160">
        <v>84</v>
      </c>
    </row>
    <row r="25" spans="2:9" x14ac:dyDescent="0.25">
      <c r="H25" s="160" t="s">
        <v>379</v>
      </c>
      <c r="I25" s="160">
        <v>87</v>
      </c>
    </row>
    <row r="26" spans="2:9" x14ac:dyDescent="0.25">
      <c r="H26" s="160" t="s">
        <v>380</v>
      </c>
      <c r="I26" s="160">
        <v>92</v>
      </c>
    </row>
    <row r="27" spans="2:9" x14ac:dyDescent="0.25">
      <c r="B27" s="160" t="s">
        <v>381</v>
      </c>
      <c r="H27" s="160" t="s">
        <v>382</v>
      </c>
      <c r="I27" s="160">
        <v>98</v>
      </c>
    </row>
    <row r="28" spans="2:9" x14ac:dyDescent="0.25">
      <c r="B28" s="160" t="s">
        <v>383</v>
      </c>
      <c r="C28" s="160" t="s">
        <v>169</v>
      </c>
      <c r="F28" s="160">
        <v>6</v>
      </c>
      <c r="G28" s="160" t="s">
        <v>33</v>
      </c>
      <c r="H28" s="160" t="s">
        <v>384</v>
      </c>
      <c r="I28" s="160">
        <v>81</v>
      </c>
    </row>
    <row r="29" spans="2:9" x14ac:dyDescent="0.25">
      <c r="B29" s="160" t="s">
        <v>385</v>
      </c>
      <c r="C29" s="160">
        <v>1</v>
      </c>
      <c r="H29" s="160" t="s">
        <v>386</v>
      </c>
      <c r="I29" s="160">
        <v>90</v>
      </c>
    </row>
    <row r="30" spans="2:9" x14ac:dyDescent="0.25">
      <c r="B30" s="160" t="s">
        <v>387</v>
      </c>
      <c r="C30" s="160">
        <v>2</v>
      </c>
      <c r="H30" s="160" t="s">
        <v>388</v>
      </c>
      <c r="I30" s="160">
        <v>87</v>
      </c>
    </row>
    <row r="31" spans="2:9" x14ac:dyDescent="0.25">
      <c r="B31" s="160" t="s">
        <v>389</v>
      </c>
      <c r="C31" s="160">
        <v>3</v>
      </c>
      <c r="H31" s="160" t="s">
        <v>390</v>
      </c>
      <c r="I31" s="160">
        <v>94</v>
      </c>
    </row>
    <row r="32" spans="2:9" x14ac:dyDescent="0.25">
      <c r="B32" s="160" t="s">
        <v>391</v>
      </c>
      <c r="C32" s="160">
        <v>4</v>
      </c>
      <c r="F32" s="160">
        <v>7</v>
      </c>
      <c r="G32" s="160" t="s">
        <v>161</v>
      </c>
      <c r="H32" s="160" t="s">
        <v>392</v>
      </c>
      <c r="I32" s="160">
        <v>87</v>
      </c>
    </row>
    <row r="33" spans="2:9" x14ac:dyDescent="0.25">
      <c r="B33" s="160" t="s">
        <v>393</v>
      </c>
      <c r="C33" s="160">
        <v>5</v>
      </c>
      <c r="H33" s="160" t="s">
        <v>394</v>
      </c>
      <c r="I33" s="160">
        <v>88</v>
      </c>
    </row>
    <row r="34" spans="2:9" x14ac:dyDescent="0.25">
      <c r="H34" s="160" t="s">
        <v>395</v>
      </c>
      <c r="I34" s="160">
        <v>89</v>
      </c>
    </row>
    <row r="35" spans="2:9" x14ac:dyDescent="0.25">
      <c r="H35" s="160" t="s">
        <v>396</v>
      </c>
      <c r="I35" s="160">
        <v>92</v>
      </c>
    </row>
    <row r="36" spans="2:9" x14ac:dyDescent="0.25">
      <c r="H36" s="160" t="s">
        <v>397</v>
      </c>
      <c r="I36" s="160">
        <v>93</v>
      </c>
    </row>
    <row r="37" spans="2:9" x14ac:dyDescent="0.25">
      <c r="F37" s="160">
        <v>8</v>
      </c>
      <c r="G37" s="160" t="s">
        <v>162</v>
      </c>
      <c r="H37" s="160" t="s">
        <v>398</v>
      </c>
      <c r="I37" s="160">
        <v>92</v>
      </c>
    </row>
    <row r="38" spans="2:9" x14ac:dyDescent="0.25">
      <c r="H38" s="160" t="s">
        <v>399</v>
      </c>
      <c r="I38" s="160">
        <v>90</v>
      </c>
    </row>
    <row r="39" spans="2:9" x14ac:dyDescent="0.25">
      <c r="H39" s="160" t="s">
        <v>400</v>
      </c>
      <c r="I39" s="160">
        <v>88</v>
      </c>
    </row>
    <row r="40" spans="2:9" x14ac:dyDescent="0.25">
      <c r="F40" s="160">
        <v>9</v>
      </c>
      <c r="G40" s="160" t="s">
        <v>401</v>
      </c>
      <c r="H40" s="160" t="s">
        <v>402</v>
      </c>
      <c r="I40" s="160">
        <v>200</v>
      </c>
    </row>
    <row r="41" spans="2:9" x14ac:dyDescent="0.25">
      <c r="H41" s="160" t="s">
        <v>403</v>
      </c>
      <c r="I41" s="160">
        <v>100</v>
      </c>
    </row>
    <row r="42" spans="2:9" x14ac:dyDescent="0.25">
      <c r="H42" s="160" t="s">
        <v>404</v>
      </c>
      <c r="I42" s="160">
        <v>50</v>
      </c>
    </row>
    <row r="43" spans="2:9" x14ac:dyDescent="0.25">
      <c r="H43" s="160" t="s">
        <v>405</v>
      </c>
      <c r="I43" s="160">
        <v>25</v>
      </c>
    </row>
    <row r="44" spans="2:9" x14ac:dyDescent="0.25">
      <c r="H44" s="160" t="s">
        <v>406</v>
      </c>
      <c r="I44" s="160">
        <v>0</v>
      </c>
    </row>
    <row r="45" spans="2:9" x14ac:dyDescent="0.25">
      <c r="F45" s="160">
        <v>10</v>
      </c>
      <c r="G45" s="160" t="s">
        <v>164</v>
      </c>
    </row>
    <row r="46" spans="2:9" x14ac:dyDescent="0.25">
      <c r="G46" s="160" t="s">
        <v>407</v>
      </c>
      <c r="H46" s="160" t="s">
        <v>408</v>
      </c>
      <c r="I46" s="160">
        <v>173</v>
      </c>
    </row>
    <row r="47" spans="2:9" x14ac:dyDescent="0.25">
      <c r="H47" s="160" t="s">
        <v>409</v>
      </c>
      <c r="I47" s="160">
        <v>100</v>
      </c>
    </row>
    <row r="48" spans="2:9" x14ac:dyDescent="0.25">
      <c r="H48" s="160" t="s">
        <v>410</v>
      </c>
      <c r="I48" s="160">
        <v>50</v>
      </c>
    </row>
    <row r="49" spans="7:9" x14ac:dyDescent="0.25">
      <c r="H49" s="160" t="s">
        <v>411</v>
      </c>
    </row>
    <row r="50" spans="7:9" x14ac:dyDescent="0.25">
      <c r="H50" s="160" t="s">
        <v>412</v>
      </c>
      <c r="I50" s="160">
        <v>20</v>
      </c>
    </row>
    <row r="51" spans="7:9" x14ac:dyDescent="0.25">
      <c r="H51" s="160" t="s">
        <v>413</v>
      </c>
      <c r="I51" s="160">
        <v>0</v>
      </c>
    </row>
    <row r="52" spans="7:9" x14ac:dyDescent="0.25">
      <c r="H52" s="160" t="s">
        <v>414</v>
      </c>
    </row>
    <row r="53" spans="7:9" x14ac:dyDescent="0.25">
      <c r="H53" s="160" t="s">
        <v>415</v>
      </c>
    </row>
    <row r="54" spans="7:9" x14ac:dyDescent="0.25">
      <c r="H54" s="160" t="s">
        <v>416</v>
      </c>
    </row>
    <row r="55" spans="7:9" x14ac:dyDescent="0.25">
      <c r="H55" s="160" t="s">
        <v>417</v>
      </c>
    </row>
    <row r="56" spans="7:9" x14ac:dyDescent="0.25">
      <c r="G56" s="160" t="s">
        <v>418</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Книш Тарас Степанович</cp:lastModifiedBy>
  <cp:revision/>
  <dcterms:created xsi:type="dcterms:W3CDTF">2015-06-05T18:17:20Z</dcterms:created>
  <dcterms:modified xsi:type="dcterms:W3CDTF">2026-04-06T11:38:45Z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